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Licenses\Banding\2019\"/>
    </mc:Choice>
  </mc:AlternateContent>
  <xr:revisionPtr revIDLastSave="0" documentId="13_ncr:1_{9A116F99-EA24-4E4B-A11A-F5FD3361F4E0}" xr6:coauthVersionLast="43" xr6:coauthVersionMax="43" xr10:uidLastSave="{00000000-0000-0000-0000-000000000000}"/>
  <bookViews>
    <workbookView xWindow="-120" yWindow="-120" windowWidth="29040" windowHeight="15840" xr2:uid="{FE585986-5345-4454-A7BB-26734F2C14F6}"/>
  </bookViews>
  <sheets>
    <sheet name="Banding System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'Banding System'!$I$21:$K$98</definedName>
    <definedName name="CRKN_Members">'Banding System'!$B$22:$B$96</definedName>
    <definedName name="ELSSCI">[1]elssci2014CRKNMemberMatch!$A$3:$C$74</definedName>
    <definedName name="NUDGE" localSheetId="0">'Banding System'!#REF!</definedName>
    <definedName name="NUDGE">#REF!</definedName>
    <definedName name="Price_List_Data">[2]Data!$A$4:$L$111</definedName>
    <definedName name="_xlnm.Print_Area" localSheetId="0">'Banding System'!$B$1:$M$103</definedName>
    <definedName name="_xlnm.Print_Titles" localSheetId="0">'Banding System'!$B:$B</definedName>
    <definedName name="TIERS">'Banding System'!$C$100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6" i="1" l="1"/>
  <c r="I96" i="1"/>
  <c r="G96" i="1"/>
  <c r="E96" i="1"/>
  <c r="C96" i="1"/>
  <c r="K95" i="1"/>
  <c r="I95" i="1"/>
  <c r="G95" i="1"/>
  <c r="E95" i="1"/>
  <c r="C95" i="1"/>
  <c r="K94" i="1"/>
  <c r="I94" i="1"/>
  <c r="G94" i="1"/>
  <c r="E94" i="1"/>
  <c r="C94" i="1"/>
  <c r="K93" i="1"/>
  <c r="I93" i="1"/>
  <c r="G93" i="1"/>
  <c r="E93" i="1"/>
  <c r="C93" i="1"/>
  <c r="K92" i="1"/>
  <c r="I92" i="1"/>
  <c r="G92" i="1"/>
  <c r="E92" i="1"/>
  <c r="C92" i="1"/>
  <c r="K91" i="1"/>
  <c r="I91" i="1"/>
  <c r="G91" i="1"/>
  <c r="E91" i="1"/>
  <c r="C91" i="1"/>
  <c r="K90" i="1"/>
  <c r="I90" i="1"/>
  <c r="G90" i="1"/>
  <c r="E90" i="1"/>
  <c r="C90" i="1"/>
  <c r="K89" i="1"/>
  <c r="I89" i="1"/>
  <c r="G89" i="1"/>
  <c r="E89" i="1"/>
  <c r="C89" i="1"/>
  <c r="K88" i="1"/>
  <c r="I88" i="1"/>
  <c r="G88" i="1"/>
  <c r="E88" i="1"/>
  <c r="C88" i="1"/>
  <c r="K87" i="1"/>
  <c r="I87" i="1"/>
  <c r="G87" i="1"/>
  <c r="E87" i="1"/>
  <c r="C87" i="1"/>
  <c r="K86" i="1"/>
  <c r="I86" i="1"/>
  <c r="G86" i="1"/>
  <c r="E86" i="1"/>
  <c r="C86" i="1"/>
  <c r="K85" i="1"/>
  <c r="I85" i="1"/>
  <c r="G85" i="1"/>
  <c r="E85" i="1"/>
  <c r="C85" i="1"/>
  <c r="K84" i="1"/>
  <c r="I84" i="1"/>
  <c r="G84" i="1"/>
  <c r="E84" i="1"/>
  <c r="C84" i="1"/>
  <c r="K83" i="1"/>
  <c r="I83" i="1"/>
  <c r="G83" i="1"/>
  <c r="E83" i="1"/>
  <c r="C83" i="1"/>
  <c r="K82" i="1"/>
  <c r="I82" i="1"/>
  <c r="G82" i="1"/>
  <c r="E82" i="1"/>
  <c r="C82" i="1"/>
  <c r="K81" i="1"/>
  <c r="I81" i="1"/>
  <c r="G81" i="1"/>
  <c r="E81" i="1"/>
  <c r="C81" i="1"/>
  <c r="K80" i="1"/>
  <c r="I80" i="1"/>
  <c r="G80" i="1"/>
  <c r="E80" i="1"/>
  <c r="C80" i="1"/>
  <c r="K79" i="1"/>
  <c r="I79" i="1"/>
  <c r="G79" i="1"/>
  <c r="E79" i="1"/>
  <c r="C79" i="1"/>
  <c r="K78" i="1"/>
  <c r="I78" i="1"/>
  <c r="G78" i="1"/>
  <c r="E78" i="1"/>
  <c r="C78" i="1"/>
  <c r="K77" i="1"/>
  <c r="I77" i="1"/>
  <c r="G77" i="1"/>
  <c r="E77" i="1"/>
  <c r="C77" i="1"/>
  <c r="K76" i="1"/>
  <c r="I76" i="1"/>
  <c r="G76" i="1"/>
  <c r="E76" i="1"/>
  <c r="C76" i="1"/>
  <c r="K75" i="1"/>
  <c r="I75" i="1"/>
  <c r="G75" i="1"/>
  <c r="E75" i="1"/>
  <c r="C75" i="1"/>
  <c r="K74" i="1"/>
  <c r="I74" i="1"/>
  <c r="G74" i="1"/>
  <c r="E74" i="1"/>
  <c r="C74" i="1"/>
  <c r="K73" i="1"/>
  <c r="I73" i="1"/>
  <c r="G73" i="1"/>
  <c r="E73" i="1"/>
  <c r="C73" i="1"/>
  <c r="K72" i="1"/>
  <c r="I72" i="1"/>
  <c r="G72" i="1"/>
  <c r="E72" i="1"/>
  <c r="C72" i="1"/>
  <c r="K71" i="1"/>
  <c r="I71" i="1"/>
  <c r="G71" i="1"/>
  <c r="E71" i="1"/>
  <c r="C71" i="1"/>
  <c r="K70" i="1"/>
  <c r="I70" i="1"/>
  <c r="G70" i="1"/>
  <c r="E70" i="1"/>
  <c r="C70" i="1"/>
  <c r="K69" i="1"/>
  <c r="I69" i="1"/>
  <c r="G69" i="1"/>
  <c r="E69" i="1"/>
  <c r="C69" i="1"/>
  <c r="K68" i="1"/>
  <c r="I68" i="1"/>
  <c r="G68" i="1"/>
  <c r="E68" i="1"/>
  <c r="C68" i="1"/>
  <c r="K67" i="1"/>
  <c r="I67" i="1"/>
  <c r="G67" i="1"/>
  <c r="E67" i="1"/>
  <c r="C67" i="1"/>
  <c r="K66" i="1"/>
  <c r="I66" i="1"/>
  <c r="G66" i="1"/>
  <c r="E66" i="1"/>
  <c r="C66" i="1"/>
  <c r="K65" i="1"/>
  <c r="I65" i="1"/>
  <c r="G65" i="1"/>
  <c r="E65" i="1"/>
  <c r="C65" i="1"/>
  <c r="K64" i="1"/>
  <c r="I64" i="1"/>
  <c r="G64" i="1"/>
  <c r="E64" i="1"/>
  <c r="C64" i="1"/>
  <c r="K63" i="1"/>
  <c r="I63" i="1"/>
  <c r="G63" i="1"/>
  <c r="E63" i="1"/>
  <c r="C63" i="1"/>
  <c r="K62" i="1"/>
  <c r="I62" i="1"/>
  <c r="G62" i="1"/>
  <c r="E62" i="1"/>
  <c r="C62" i="1"/>
  <c r="K61" i="1"/>
  <c r="I61" i="1"/>
  <c r="G61" i="1"/>
  <c r="E61" i="1"/>
  <c r="C61" i="1"/>
  <c r="K60" i="1"/>
  <c r="I60" i="1"/>
  <c r="G60" i="1"/>
  <c r="E60" i="1"/>
  <c r="C60" i="1"/>
  <c r="K59" i="1"/>
  <c r="I59" i="1"/>
  <c r="G59" i="1"/>
  <c r="E59" i="1"/>
  <c r="C59" i="1"/>
  <c r="K58" i="1"/>
  <c r="I58" i="1"/>
  <c r="G58" i="1"/>
  <c r="E58" i="1"/>
  <c r="C58" i="1"/>
  <c r="K57" i="1"/>
  <c r="I57" i="1"/>
  <c r="G57" i="1"/>
  <c r="E57" i="1"/>
  <c r="C57" i="1"/>
  <c r="K56" i="1"/>
  <c r="I56" i="1"/>
  <c r="E56" i="1"/>
  <c r="C56" i="1"/>
  <c r="K55" i="1"/>
  <c r="I55" i="1"/>
  <c r="G55" i="1"/>
  <c r="E55" i="1"/>
  <c r="C55" i="1"/>
  <c r="K54" i="1"/>
  <c r="I54" i="1"/>
  <c r="G54" i="1"/>
  <c r="E54" i="1"/>
  <c r="C54" i="1"/>
  <c r="K53" i="1"/>
  <c r="I53" i="1"/>
  <c r="G53" i="1"/>
  <c r="E53" i="1"/>
  <c r="C53" i="1"/>
  <c r="K52" i="1"/>
  <c r="I52" i="1"/>
  <c r="G52" i="1"/>
  <c r="E52" i="1"/>
  <c r="C52" i="1"/>
  <c r="K51" i="1"/>
  <c r="I51" i="1"/>
  <c r="G51" i="1"/>
  <c r="E51" i="1"/>
  <c r="C51" i="1"/>
  <c r="K50" i="1"/>
  <c r="I50" i="1"/>
  <c r="G50" i="1"/>
  <c r="E50" i="1"/>
  <c r="C50" i="1"/>
  <c r="K49" i="1"/>
  <c r="I49" i="1"/>
  <c r="E49" i="1"/>
  <c r="C49" i="1"/>
  <c r="K48" i="1"/>
  <c r="I48" i="1"/>
  <c r="G48" i="1"/>
  <c r="E48" i="1"/>
  <c r="C48" i="1"/>
  <c r="K47" i="1"/>
  <c r="I47" i="1"/>
  <c r="E47" i="1"/>
  <c r="C47" i="1"/>
  <c r="K46" i="1"/>
  <c r="I46" i="1"/>
  <c r="G46" i="1"/>
  <c r="E46" i="1"/>
  <c r="C46" i="1"/>
  <c r="K45" i="1"/>
  <c r="I45" i="1"/>
  <c r="C45" i="1"/>
  <c r="K44" i="1"/>
  <c r="I44" i="1"/>
  <c r="G44" i="1"/>
  <c r="E44" i="1"/>
  <c r="C44" i="1"/>
  <c r="K43" i="1"/>
  <c r="I43" i="1"/>
  <c r="G43" i="1"/>
  <c r="E43" i="1"/>
  <c r="C43" i="1"/>
  <c r="K42" i="1"/>
  <c r="I42" i="1"/>
  <c r="E42" i="1"/>
  <c r="C42" i="1"/>
  <c r="K41" i="1"/>
  <c r="I41" i="1"/>
  <c r="G41" i="1"/>
  <c r="E41" i="1"/>
  <c r="C41" i="1"/>
  <c r="K40" i="1"/>
  <c r="I40" i="1"/>
  <c r="G40" i="1"/>
  <c r="E40" i="1"/>
  <c r="C40" i="1"/>
  <c r="K39" i="1"/>
  <c r="I39" i="1"/>
  <c r="G39" i="1"/>
  <c r="E39" i="1"/>
  <c r="C39" i="1"/>
  <c r="K38" i="1"/>
  <c r="I38" i="1"/>
  <c r="G38" i="1"/>
  <c r="E38" i="1"/>
  <c r="C38" i="1"/>
  <c r="K37" i="1"/>
  <c r="I37" i="1"/>
  <c r="G37" i="1"/>
  <c r="C37" i="1"/>
  <c r="K36" i="1"/>
  <c r="I36" i="1"/>
  <c r="E36" i="1"/>
  <c r="C36" i="1"/>
  <c r="K35" i="1"/>
  <c r="I35" i="1"/>
  <c r="G35" i="1"/>
  <c r="E35" i="1"/>
  <c r="C35" i="1"/>
  <c r="K34" i="1"/>
  <c r="I34" i="1"/>
  <c r="E34" i="1"/>
  <c r="C34" i="1"/>
  <c r="K33" i="1"/>
  <c r="I33" i="1"/>
  <c r="G33" i="1"/>
  <c r="E33" i="1"/>
  <c r="C33" i="1"/>
  <c r="K32" i="1"/>
  <c r="I32" i="1"/>
  <c r="G32" i="1"/>
  <c r="E32" i="1"/>
  <c r="C32" i="1"/>
  <c r="K31" i="1"/>
  <c r="I31" i="1"/>
  <c r="G31" i="1"/>
  <c r="E31" i="1"/>
  <c r="C31" i="1"/>
  <c r="K30" i="1"/>
  <c r="I30" i="1"/>
  <c r="E30" i="1"/>
  <c r="C30" i="1"/>
  <c r="K29" i="1"/>
  <c r="I29" i="1"/>
  <c r="E29" i="1"/>
  <c r="C29" i="1"/>
  <c r="K28" i="1"/>
  <c r="I28" i="1"/>
  <c r="E28" i="1"/>
  <c r="C28" i="1"/>
  <c r="K27" i="1"/>
  <c r="I27" i="1"/>
  <c r="G27" i="1"/>
  <c r="C27" i="1"/>
  <c r="K26" i="1"/>
  <c r="I26" i="1"/>
  <c r="E26" i="1"/>
  <c r="C26" i="1"/>
  <c r="K25" i="1"/>
  <c r="I25" i="1"/>
  <c r="G25" i="1"/>
  <c r="G98" i="1" s="1"/>
  <c r="H56" i="1" s="1"/>
  <c r="E25" i="1"/>
  <c r="C25" i="1"/>
  <c r="K24" i="1"/>
  <c r="I24" i="1"/>
  <c r="E24" i="1"/>
  <c r="C24" i="1"/>
  <c r="K23" i="1"/>
  <c r="I23" i="1"/>
  <c r="E23" i="1"/>
  <c r="C23" i="1"/>
  <c r="K22" i="1"/>
  <c r="I22" i="1"/>
  <c r="E22" i="1"/>
  <c r="C22" i="1"/>
  <c r="H25" i="1" l="1"/>
  <c r="H27" i="1"/>
  <c r="F34" i="1"/>
  <c r="F40" i="1"/>
  <c r="H46" i="1"/>
  <c r="H29" i="1"/>
  <c r="F30" i="1"/>
  <c r="H35" i="1"/>
  <c r="F43" i="1"/>
  <c r="E98" i="1"/>
  <c r="F53" i="1" s="1"/>
  <c r="I98" i="1"/>
  <c r="I102" i="1" s="1"/>
  <c r="H24" i="1"/>
  <c r="F32" i="1"/>
  <c r="F39" i="1"/>
  <c r="C98" i="1"/>
  <c r="H22" i="1"/>
  <c r="H34" i="1"/>
  <c r="F42" i="1"/>
  <c r="H54" i="1"/>
  <c r="H58" i="1"/>
  <c r="H60" i="1"/>
  <c r="H62" i="1"/>
  <c r="H64" i="1"/>
  <c r="H66" i="1"/>
  <c r="H69" i="1"/>
  <c r="I101" i="1"/>
  <c r="J24" i="1" s="1"/>
  <c r="H26" i="1"/>
  <c r="F29" i="1"/>
  <c r="H30" i="1"/>
  <c r="H31" i="1"/>
  <c r="H32" i="1"/>
  <c r="H33" i="1"/>
  <c r="H42" i="1"/>
  <c r="H43" i="1"/>
  <c r="H44" i="1"/>
  <c r="F46" i="1"/>
  <c r="F47" i="1"/>
  <c r="H49" i="1"/>
  <c r="H50" i="1"/>
  <c r="H51" i="1"/>
  <c r="H52" i="1"/>
  <c r="H53" i="1"/>
  <c r="F55" i="1"/>
  <c r="F57" i="1"/>
  <c r="F59" i="1"/>
  <c r="F61" i="1"/>
  <c r="F63" i="1"/>
  <c r="F65" i="1"/>
  <c r="F67" i="1"/>
  <c r="H70" i="1"/>
  <c r="F35" i="1"/>
  <c r="F36" i="1"/>
  <c r="H37" i="1"/>
  <c r="H38" i="1"/>
  <c r="H39" i="1"/>
  <c r="H40" i="1"/>
  <c r="H41" i="1"/>
  <c r="F45" i="1"/>
  <c r="H47" i="1"/>
  <c r="H48" i="1"/>
  <c r="F54" i="1"/>
  <c r="H57" i="1"/>
  <c r="H59" i="1"/>
  <c r="H61" i="1"/>
  <c r="H63" i="1"/>
  <c r="H65" i="1"/>
  <c r="H67" i="1"/>
  <c r="F68" i="1"/>
  <c r="J22" i="1"/>
  <c r="F23" i="1"/>
  <c r="F22" i="1"/>
  <c r="K98" i="1"/>
  <c r="H23" i="1"/>
  <c r="H28" i="1"/>
  <c r="H36" i="1"/>
  <c r="H45" i="1"/>
  <c r="H55" i="1"/>
  <c r="F58" i="1"/>
  <c r="F60" i="1"/>
  <c r="F62" i="1"/>
  <c r="F64" i="1"/>
  <c r="F66" i="1"/>
  <c r="H68" i="1"/>
  <c r="F69" i="1"/>
  <c r="F71" i="1"/>
  <c r="F73" i="1"/>
  <c r="F75" i="1"/>
  <c r="F77" i="1"/>
  <c r="F79" i="1"/>
  <c r="F81" i="1"/>
  <c r="F83" i="1"/>
  <c r="F85" i="1"/>
  <c r="F87" i="1"/>
  <c r="F89" i="1"/>
  <c r="F91" i="1"/>
  <c r="F93" i="1"/>
  <c r="F95" i="1"/>
  <c r="H71" i="1"/>
  <c r="H73" i="1"/>
  <c r="H75" i="1"/>
  <c r="H77" i="1"/>
  <c r="H79" i="1"/>
  <c r="H81" i="1"/>
  <c r="H83" i="1"/>
  <c r="H85" i="1"/>
  <c r="H87" i="1"/>
  <c r="H89" i="1"/>
  <c r="H91" i="1"/>
  <c r="H93" i="1"/>
  <c r="H95" i="1"/>
  <c r="F72" i="1"/>
  <c r="F74" i="1"/>
  <c r="F76" i="1"/>
  <c r="F78" i="1"/>
  <c r="F80" i="1"/>
  <c r="F82" i="1"/>
  <c r="F84" i="1"/>
  <c r="F86" i="1"/>
  <c r="F88" i="1"/>
  <c r="F90" i="1"/>
  <c r="F92" i="1"/>
  <c r="F94" i="1"/>
  <c r="F96" i="1"/>
  <c r="H72" i="1"/>
  <c r="H74" i="1"/>
  <c r="H76" i="1"/>
  <c r="H78" i="1"/>
  <c r="H80" i="1"/>
  <c r="H82" i="1"/>
  <c r="H84" i="1"/>
  <c r="H86" i="1"/>
  <c r="H88" i="1"/>
  <c r="H90" i="1"/>
  <c r="H92" i="1"/>
  <c r="H94" i="1"/>
  <c r="H96" i="1"/>
  <c r="J48" i="1" l="1"/>
  <c r="J93" i="1"/>
  <c r="J81" i="1"/>
  <c r="J77" i="1"/>
  <c r="J73" i="1"/>
  <c r="J96" i="1"/>
  <c r="J92" i="1"/>
  <c r="J88" i="1"/>
  <c r="J84" i="1"/>
  <c r="J80" i="1"/>
  <c r="J76" i="1"/>
  <c r="J72" i="1"/>
  <c r="J67" i="1"/>
  <c r="J63" i="1"/>
  <c r="J59" i="1"/>
  <c r="J70" i="1"/>
  <c r="J69" i="1"/>
  <c r="J64" i="1"/>
  <c r="J60" i="1"/>
  <c r="J56" i="1"/>
  <c r="I107" i="1"/>
  <c r="J68" i="1"/>
  <c r="J33" i="1"/>
  <c r="J32" i="1"/>
  <c r="J29" i="1"/>
  <c r="F38" i="1"/>
  <c r="F50" i="1"/>
  <c r="J85" i="1"/>
  <c r="F37" i="1"/>
  <c r="F28" i="1"/>
  <c r="J25" i="1"/>
  <c r="J43" i="1"/>
  <c r="F52" i="1"/>
  <c r="F25" i="1"/>
  <c r="F33" i="1"/>
  <c r="F48" i="1"/>
  <c r="F49" i="1"/>
  <c r="F26" i="1"/>
  <c r="J44" i="1"/>
  <c r="J41" i="1"/>
  <c r="J89" i="1"/>
  <c r="J95" i="1"/>
  <c r="J91" i="1"/>
  <c r="J87" i="1"/>
  <c r="J83" i="1"/>
  <c r="J79" i="1"/>
  <c r="J75" i="1"/>
  <c r="J71" i="1"/>
  <c r="J94" i="1"/>
  <c r="J90" i="1"/>
  <c r="J86" i="1"/>
  <c r="J82" i="1"/>
  <c r="J78" i="1"/>
  <c r="J74" i="1"/>
  <c r="J65" i="1"/>
  <c r="J61" i="1"/>
  <c r="J57" i="1"/>
  <c r="J66" i="1"/>
  <c r="J62" i="1"/>
  <c r="J58" i="1"/>
  <c r="F24" i="1"/>
  <c r="F70" i="1"/>
  <c r="F56" i="1"/>
  <c r="F27" i="1"/>
  <c r="F98" i="1" s="1"/>
  <c r="J47" i="1"/>
  <c r="F44" i="1"/>
  <c r="F51" i="1"/>
  <c r="F31" i="1"/>
  <c r="F41" i="1"/>
  <c r="J53" i="1"/>
  <c r="I19" i="1"/>
  <c r="J19" i="1" s="1"/>
  <c r="I17" i="1"/>
  <c r="J17" i="1" s="1"/>
  <c r="I15" i="1"/>
  <c r="J15" i="1" s="1"/>
  <c r="I13" i="1"/>
  <c r="J13" i="1" s="1"/>
  <c r="I11" i="1"/>
  <c r="J11" i="1" s="1"/>
  <c r="I9" i="1"/>
  <c r="J9" i="1" s="1"/>
  <c r="J54" i="1"/>
  <c r="J35" i="1"/>
  <c r="J34" i="1"/>
  <c r="J55" i="1"/>
  <c r="J46" i="1"/>
  <c r="J45" i="1"/>
  <c r="J36" i="1"/>
  <c r="J28" i="1"/>
  <c r="J23" i="1"/>
  <c r="I20" i="1"/>
  <c r="J20" i="1" s="1"/>
  <c r="I18" i="1"/>
  <c r="J18" i="1" s="1"/>
  <c r="I16" i="1"/>
  <c r="J16" i="1" s="1"/>
  <c r="I14" i="1"/>
  <c r="J14" i="1" s="1"/>
  <c r="I12" i="1"/>
  <c r="J12" i="1" s="1"/>
  <c r="I10" i="1"/>
  <c r="J10" i="1" s="1"/>
  <c r="I8" i="1"/>
  <c r="J8" i="1" s="1"/>
  <c r="J27" i="1"/>
  <c r="H98" i="1"/>
  <c r="J49" i="1"/>
  <c r="J40" i="1"/>
  <c r="J52" i="1"/>
  <c r="J39" i="1"/>
  <c r="J38" i="1"/>
  <c r="J31" i="1"/>
  <c r="J42" i="1"/>
  <c r="J30" i="1"/>
  <c r="C101" i="1"/>
  <c r="C102" i="1"/>
  <c r="C107" i="1"/>
  <c r="J26" i="1"/>
  <c r="J51" i="1"/>
  <c r="J50" i="1"/>
  <c r="J37" i="1"/>
  <c r="K101" i="1"/>
  <c r="K102" i="1"/>
  <c r="D55" i="1" l="1"/>
  <c r="D25" i="1"/>
  <c r="C20" i="1"/>
  <c r="D20" i="1" s="1"/>
  <c r="C18" i="1"/>
  <c r="D18" i="1" s="1"/>
  <c r="C16" i="1"/>
  <c r="D16" i="1" s="1"/>
  <c r="C14" i="1"/>
  <c r="D14" i="1" s="1"/>
  <c r="C12" i="1"/>
  <c r="D12" i="1" s="1"/>
  <c r="C10" i="1"/>
  <c r="D10" i="1" s="1"/>
  <c r="C8" i="1"/>
  <c r="D8" i="1" s="1"/>
  <c r="D22" i="1"/>
  <c r="D56" i="1"/>
  <c r="D49" i="1"/>
  <c r="D48" i="1"/>
  <c r="D42" i="1"/>
  <c r="D41" i="1"/>
  <c r="D40" i="1"/>
  <c r="D39" i="1"/>
  <c r="D38" i="1"/>
  <c r="D30" i="1"/>
  <c r="D26" i="1"/>
  <c r="D53" i="1"/>
  <c r="D52" i="1"/>
  <c r="D51" i="1"/>
  <c r="D50" i="1"/>
  <c r="D45" i="1"/>
  <c r="D44" i="1"/>
  <c r="D43" i="1"/>
  <c r="D34" i="1"/>
  <c r="D33" i="1"/>
  <c r="D32" i="1"/>
  <c r="D31" i="1"/>
  <c r="D27" i="1"/>
  <c r="D54" i="1"/>
  <c r="C19" i="1"/>
  <c r="D19" i="1" s="1"/>
  <c r="C17" i="1"/>
  <c r="D17" i="1" s="1"/>
  <c r="C15" i="1"/>
  <c r="D15" i="1" s="1"/>
  <c r="C13" i="1"/>
  <c r="D13" i="1" s="1"/>
  <c r="C11" i="1"/>
  <c r="D11" i="1" s="1"/>
  <c r="C9" i="1"/>
  <c r="D9" i="1" s="1"/>
  <c r="D47" i="1"/>
  <c r="D35" i="1"/>
  <c r="D46" i="1"/>
  <c r="D59" i="1"/>
  <c r="D67" i="1"/>
  <c r="D64" i="1"/>
  <c r="D70" i="1"/>
  <c r="D90" i="1"/>
  <c r="D80" i="1"/>
  <c r="D96" i="1"/>
  <c r="D73" i="1"/>
  <c r="D81" i="1"/>
  <c r="D89" i="1"/>
  <c r="D28" i="1"/>
  <c r="D36" i="1"/>
  <c r="D57" i="1"/>
  <c r="D65" i="1"/>
  <c r="D62" i="1"/>
  <c r="D29" i="1"/>
  <c r="D23" i="1"/>
  <c r="D37" i="1"/>
  <c r="D63" i="1"/>
  <c r="D68" i="1"/>
  <c r="D60" i="1"/>
  <c r="D78" i="1"/>
  <c r="D86" i="1"/>
  <c r="D94" i="1"/>
  <c r="D71" i="1"/>
  <c r="D79" i="1"/>
  <c r="D87" i="1"/>
  <c r="D95" i="1"/>
  <c r="D72" i="1"/>
  <c r="D88" i="1"/>
  <c r="D24" i="1"/>
  <c r="D61" i="1"/>
  <c r="D58" i="1"/>
  <c r="D66" i="1"/>
  <c r="D69" i="1"/>
  <c r="D76" i="1"/>
  <c r="D84" i="1"/>
  <c r="D92" i="1"/>
  <c r="D77" i="1"/>
  <c r="D85" i="1"/>
  <c r="D93" i="1"/>
  <c r="D74" i="1"/>
  <c r="D82" i="1"/>
  <c r="D75" i="1"/>
  <c r="D83" i="1"/>
  <c r="D91" i="1"/>
  <c r="L55" i="1"/>
  <c r="L24" i="1"/>
  <c r="K20" i="1"/>
  <c r="L20" i="1" s="1"/>
  <c r="K18" i="1"/>
  <c r="L18" i="1" s="1"/>
  <c r="K16" i="1"/>
  <c r="L16" i="1" s="1"/>
  <c r="K14" i="1"/>
  <c r="L14" i="1" s="1"/>
  <c r="K12" i="1"/>
  <c r="L12" i="1" s="1"/>
  <c r="K10" i="1"/>
  <c r="L10" i="1" s="1"/>
  <c r="L48" i="1"/>
  <c r="L47" i="1"/>
  <c r="L41" i="1"/>
  <c r="L40" i="1"/>
  <c r="L39" i="1"/>
  <c r="L38" i="1"/>
  <c r="L37" i="1"/>
  <c r="L29" i="1"/>
  <c r="L25" i="1"/>
  <c r="K8" i="1"/>
  <c r="L8" i="1" s="1"/>
  <c r="L53" i="1"/>
  <c r="L52" i="1"/>
  <c r="L51" i="1"/>
  <c r="L50" i="1"/>
  <c r="L49" i="1"/>
  <c r="L44" i="1"/>
  <c r="L43" i="1"/>
  <c r="L42" i="1"/>
  <c r="L33" i="1"/>
  <c r="L32" i="1"/>
  <c r="L31" i="1"/>
  <c r="L30" i="1"/>
  <c r="L26" i="1"/>
  <c r="L54" i="1"/>
  <c r="K19" i="1"/>
  <c r="L19" i="1" s="1"/>
  <c r="K17" i="1"/>
  <c r="L17" i="1" s="1"/>
  <c r="K15" i="1"/>
  <c r="L15" i="1" s="1"/>
  <c r="K13" i="1"/>
  <c r="L13" i="1" s="1"/>
  <c r="K11" i="1"/>
  <c r="L11" i="1" s="1"/>
  <c r="K9" i="1"/>
  <c r="L9" i="1" s="1"/>
  <c r="L27" i="1"/>
  <c r="L34" i="1"/>
  <c r="L61" i="1"/>
  <c r="L58" i="1"/>
  <c r="L66" i="1"/>
  <c r="L69" i="1"/>
  <c r="L84" i="1"/>
  <c r="L74" i="1"/>
  <c r="L90" i="1"/>
  <c r="L75" i="1"/>
  <c r="L83" i="1"/>
  <c r="L91" i="1"/>
  <c r="L28" i="1"/>
  <c r="L35" i="1"/>
  <c r="L45" i="1"/>
  <c r="L46" i="1"/>
  <c r="L59" i="1"/>
  <c r="L67" i="1"/>
  <c r="L56" i="1"/>
  <c r="L64" i="1"/>
  <c r="L22" i="1"/>
  <c r="L36" i="1"/>
  <c r="L57" i="1"/>
  <c r="L65" i="1"/>
  <c r="L62" i="1"/>
  <c r="L72" i="1"/>
  <c r="L80" i="1"/>
  <c r="L88" i="1"/>
  <c r="L96" i="1"/>
  <c r="L73" i="1"/>
  <c r="L81" i="1"/>
  <c r="L89" i="1"/>
  <c r="L82" i="1"/>
  <c r="L23" i="1"/>
  <c r="L63" i="1"/>
  <c r="L68" i="1"/>
  <c r="L60" i="1"/>
  <c r="L70" i="1"/>
  <c r="L78" i="1"/>
  <c r="L86" i="1"/>
  <c r="L94" i="1"/>
  <c r="L71" i="1"/>
  <c r="L79" i="1"/>
  <c r="L87" i="1"/>
  <c r="L95" i="1"/>
  <c r="L76" i="1"/>
  <c r="L92" i="1"/>
  <c r="L77" i="1"/>
  <c r="L85" i="1"/>
  <c r="L93" i="1"/>
  <c r="M84" i="1" l="1"/>
  <c r="M71" i="1"/>
  <c r="M57" i="1"/>
  <c r="M31" i="1"/>
  <c r="M30" i="1"/>
  <c r="M75" i="1"/>
  <c r="M85" i="1"/>
  <c r="M76" i="1"/>
  <c r="M61" i="1"/>
  <c r="M95" i="1"/>
  <c r="M94" i="1"/>
  <c r="M68" i="1"/>
  <c r="M29" i="1"/>
  <c r="M36" i="1"/>
  <c r="M73" i="1"/>
  <c r="M70" i="1"/>
  <c r="M46" i="1"/>
  <c r="M32" i="1"/>
  <c r="M44" i="1"/>
  <c r="M52" i="1"/>
  <c r="M38" i="1"/>
  <c r="M42" i="1"/>
  <c r="M22" i="1"/>
  <c r="M25" i="1"/>
  <c r="M93" i="1"/>
  <c r="M72" i="1"/>
  <c r="M23" i="1"/>
  <c r="M90" i="1"/>
  <c r="M59" i="1"/>
  <c r="M43" i="1"/>
  <c r="M41" i="1"/>
  <c r="M82" i="1"/>
  <c r="M77" i="1"/>
  <c r="M69" i="1"/>
  <c r="M24" i="1"/>
  <c r="M87" i="1"/>
  <c r="M86" i="1"/>
  <c r="M63" i="1"/>
  <c r="M62" i="1"/>
  <c r="M28" i="1"/>
  <c r="M96" i="1"/>
  <c r="M64" i="1"/>
  <c r="M35" i="1"/>
  <c r="M54" i="1"/>
  <c r="M33" i="1"/>
  <c r="M45" i="1"/>
  <c r="M53" i="1"/>
  <c r="M39" i="1"/>
  <c r="M48" i="1"/>
  <c r="M55" i="1"/>
  <c r="M83" i="1"/>
  <c r="M58" i="1"/>
  <c r="M60" i="1"/>
  <c r="M81" i="1"/>
  <c r="M51" i="1"/>
  <c r="M56" i="1"/>
  <c r="M91" i="1"/>
  <c r="M74" i="1"/>
  <c r="M92" i="1"/>
  <c r="M66" i="1"/>
  <c r="M88" i="1"/>
  <c r="M79" i="1"/>
  <c r="M78" i="1"/>
  <c r="M37" i="1"/>
  <c r="M65" i="1"/>
  <c r="M89" i="1"/>
  <c r="M80" i="1"/>
  <c r="M67" i="1"/>
  <c r="M47" i="1"/>
  <c r="M27" i="1"/>
  <c r="M34" i="1"/>
  <c r="M50" i="1"/>
  <c r="M26" i="1"/>
  <c r="M40" i="1"/>
  <c r="M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5FCE5495-C938-496B-9E6E-56CCD832B9B7}">
      <text>
        <r>
          <rPr>
            <sz val="8"/>
            <color indexed="81"/>
            <rFont val="Tahoma"/>
            <family val="2"/>
          </rPr>
          <t xml:space="preserve">From CAUBO report 2011-2012, 2012-2013 and 2013-2014 Report 3.1 </t>
        </r>
      </text>
    </comment>
    <comment ref="E4" authorId="0" shapeId="0" xr:uid="{B522E860-C160-42EF-9FD6-26423D2D5E37}">
      <text>
        <r>
          <rPr>
            <b/>
            <sz val="8"/>
            <color indexed="81"/>
            <rFont val="Tahoma"/>
            <family val="2"/>
          </rPr>
          <t xml:space="preserve">From AUCC 2011 preliminary fulltime and part-time enrolment </t>
        </r>
      </text>
    </comment>
    <comment ref="G4" authorId="0" shapeId="0" xr:uid="{680388D2-7E69-4AD5-ACEF-6F38C4D1C821}">
      <text>
        <r>
          <rPr>
            <b/>
            <sz val="8"/>
            <color indexed="81"/>
            <rFont val="Tahoma"/>
            <family val="2"/>
          </rPr>
          <t xml:space="preserve">From AUCC 2011 preliminary fulltime and part-time enrolment </t>
        </r>
      </text>
    </comment>
    <comment ref="I4" authorId="0" shapeId="0" xr:uid="{82EFF013-BBCF-4B2C-9C18-063D3F3C61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Universities Canada (formerly AUCC) data. Average of three years where available.</t>
        </r>
      </text>
    </comment>
    <comment ref="K4" authorId="0" shapeId="0" xr:uid="{10B94715-43D4-4189-AFBE-14CD296637FA}">
      <text>
        <r>
          <rPr>
            <sz val="8"/>
            <color indexed="81"/>
            <rFont val="Tahoma"/>
            <family val="2"/>
          </rPr>
          <t xml:space="preserve">From Salaries and salary scales of Full-time teaching staff at Canadian Universities 2010/2011, Statistics Canada </t>
        </r>
      </text>
    </comment>
  </commentList>
</comments>
</file>

<file path=xl/sharedStrings.xml><?xml version="1.0" encoding="utf-8"?>
<sst xmlns="http://schemas.openxmlformats.org/spreadsheetml/2006/main" count="102" uniqueCount="94">
  <si>
    <t>CRKN / RCDR Bands</t>
  </si>
  <si>
    <r>
      <t xml:space="preserve">2019 Data
</t>
    </r>
    <r>
      <rPr>
        <i/>
        <sz val="12"/>
        <rFont val="Arial"/>
        <family val="2"/>
      </rPr>
      <t>Updated March 2019</t>
    </r>
  </si>
  <si>
    <t>Sponsored Research  (all sources), 
2014/15 - 2016/17</t>
  </si>
  <si>
    <t>Undergraduate Student FTE 
2011</t>
  </si>
  <si>
    <t>Graduate Student FTE 
2011</t>
  </si>
  <si>
    <t>Student FTE (combined)
2016-2018</t>
  </si>
  <si>
    <t xml:space="preserve"> Faculty  (All Ranks) 
2011, 2017 &amp; 2018</t>
  </si>
  <si>
    <t>2019 BAND</t>
  </si>
  <si>
    <t>CRKN Member Institutions (75)</t>
  </si>
  <si>
    <t>RAW</t>
  </si>
  <si>
    <t>Points</t>
  </si>
  <si>
    <t>$000</t>
  </si>
  <si>
    <t>%</t>
  </si>
  <si>
    <t>Université Sainte-Anne</t>
  </si>
  <si>
    <t>The King's University</t>
  </si>
  <si>
    <t>NSCAD University</t>
  </si>
  <si>
    <t>Concordia University of Edmonton</t>
  </si>
  <si>
    <t>Algoma University</t>
  </si>
  <si>
    <t>École nationale d'administration publique</t>
  </si>
  <si>
    <t>Royal Roads University</t>
  </si>
  <si>
    <t>Télé-université du Québec</t>
  </si>
  <si>
    <t>Trinity Western University</t>
  </si>
  <si>
    <t>Bishop's University</t>
  </si>
  <si>
    <t>Mount Saint Vincent University</t>
  </si>
  <si>
    <t>OCAD University</t>
  </si>
  <si>
    <t>Mount Allison University</t>
  </si>
  <si>
    <t>Brandon University</t>
  </si>
  <si>
    <t>Cape Breton University</t>
  </si>
  <si>
    <t>Institut national de la recherche scientifique</t>
  </si>
  <si>
    <t>Université du Québec en Abitibi-Témiscamingue</t>
  </si>
  <si>
    <t>Nipissing University</t>
  </si>
  <si>
    <t>Royal Military College of Canada</t>
  </si>
  <si>
    <t>University of Northern British Columbia</t>
  </si>
  <si>
    <t>University of the Fraser Valley</t>
  </si>
  <si>
    <t>Acadia University</t>
  </si>
  <si>
    <t>Vancouver Island University</t>
  </si>
  <si>
    <t>MacEwan University</t>
  </si>
  <si>
    <t>Université du Québec en Outaouais</t>
  </si>
  <si>
    <t>Thompson Rivers University</t>
  </si>
  <si>
    <t>St. Francis Xavier University</t>
  </si>
  <si>
    <t>Kwantlen Polytechnic University</t>
  </si>
  <si>
    <t>Athabasca University</t>
  </si>
  <si>
    <t>University of Prince Edward Island</t>
  </si>
  <si>
    <t>Université du Québec à Rimouski</t>
  </si>
  <si>
    <t>University of Ontario Institute of Technology</t>
  </si>
  <si>
    <t>Université de Moncton</t>
  </si>
  <si>
    <t>Saint Mary's University</t>
  </si>
  <si>
    <t>Mount Royal University</t>
  </si>
  <si>
    <t>École de technologie supérieure</t>
  </si>
  <si>
    <t>Université du Québec à Chicoutimi</t>
  </si>
  <si>
    <t>University of Winnipeg</t>
  </si>
  <si>
    <t>Trent University</t>
  </si>
  <si>
    <t>HEC Montréal</t>
  </si>
  <si>
    <t>Lakehead University</t>
  </si>
  <si>
    <t>Laurentian University</t>
  </si>
  <si>
    <t>École Polytechnique de Montréal</t>
  </si>
  <si>
    <t>University of Lethbridge</t>
  </si>
  <si>
    <t>Université du Québec à Trois-Rivières</t>
  </si>
  <si>
    <t>University of Regina</t>
  </si>
  <si>
    <t>Wilfrid Laurier University</t>
  </si>
  <si>
    <t>Brock University</t>
  </si>
  <si>
    <t>University of Windsor</t>
  </si>
  <si>
    <t>University of New Brunswick</t>
  </si>
  <si>
    <t>University of Victoria</t>
  </si>
  <si>
    <t>Carleton University</t>
  </si>
  <si>
    <t>Ryerson University</t>
  </si>
  <si>
    <t>Memorial University of Newfoundland</t>
  </si>
  <si>
    <t>Concordia University</t>
  </si>
  <si>
    <t>Simon Fraser University</t>
  </si>
  <si>
    <t>Université de Sherbrooke</t>
  </si>
  <si>
    <t>Dalhousie University</t>
  </si>
  <si>
    <t>Université du Québec à Montréal</t>
  </si>
  <si>
    <t>University of Guelph</t>
  </si>
  <si>
    <t>Queen's University</t>
  </si>
  <si>
    <t>University of Saskatchewan</t>
  </si>
  <si>
    <t>University of Manitoba</t>
  </si>
  <si>
    <t>University of Waterloo</t>
  </si>
  <si>
    <t>York University</t>
  </si>
  <si>
    <t>McMaster University</t>
  </si>
  <si>
    <t>Western University</t>
  </si>
  <si>
    <t>University of Ottawa</t>
  </si>
  <si>
    <t>Université Laval</t>
  </si>
  <si>
    <t>University of Calgary</t>
  </si>
  <si>
    <t>University of Alberta</t>
  </si>
  <si>
    <t>McGill University</t>
  </si>
  <si>
    <t>Université de Montréal</t>
  </si>
  <si>
    <t>University of British Columbia</t>
  </si>
  <si>
    <t>University of Toronto</t>
  </si>
  <si>
    <t>TOTAL</t>
  </si>
  <si>
    <t>Number of Bands</t>
  </si>
  <si>
    <t>Minimum</t>
  </si>
  <si>
    <t>Maximum</t>
  </si>
  <si>
    <t>Factor</t>
  </si>
  <si>
    <t>Institutions changing bands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</si>
</sst>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41" formatCode="_-* #,##0_-;\-* #,##0_-;_-* &quot;-&quot;_-;_-@_-"/>
    <numFmt numFmtId="43" formatCode="_-* #,##0.00_-;\-* #,##0.00_-;_-* &quot;-&quot;??_-;_-@_-"/>
    <numFmt numFmtId="164" formatCode="_-* #,##0.000_-;\-* #,##0.000_-;_-* &quot;-&quot;??_-;_-@_-"/>
    <numFmt numFmtId="165" formatCode="_-* #,##0.0000_-;\-* #,##0.0000_-;_-* &quot;-&quot;??_-;_-@_-"/>
    <numFmt numFmtId="166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3C34B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9">
    <xf numFmtId="0" fontId="0" fillId="0" borderId="0" xfId="0"/>
    <xf numFmtId="0" fontId="2" fillId="0" borderId="1" xfId="0" applyFont="1" applyBorder="1"/>
    <xf numFmtId="0" fontId="3" fillId="0" borderId="0" xfId="2"/>
    <xf numFmtId="0" fontId="3" fillId="0" borderId="0" xfId="2" applyAlignment="1">
      <alignment horizontal="center"/>
    </xf>
    <xf numFmtId="0" fontId="3" fillId="2" borderId="0" xfId="2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2" fillId="0" borderId="2" xfId="0" applyFont="1" applyBorder="1"/>
    <xf numFmtId="17" fontId="4" fillId="2" borderId="2" xfId="0" quotePrefix="1" applyNumberFormat="1" applyFont="1" applyFill="1" applyBorder="1" applyAlignment="1">
      <alignment wrapText="1"/>
    </xf>
    <xf numFmtId="0" fontId="3" fillId="0" borderId="3" xfId="2" applyBorder="1"/>
    <xf numFmtId="0" fontId="3" fillId="0" borderId="10" xfId="2" applyBorder="1"/>
    <xf numFmtId="0" fontId="6" fillId="0" borderId="10" xfId="2" applyFont="1" applyBorder="1"/>
    <xf numFmtId="0" fontId="6" fillId="0" borderId="2" xfId="2" applyFont="1" applyBorder="1" applyAlignment="1">
      <alignment horizontal="center" vertical="center" wrapText="1"/>
    </xf>
    <xf numFmtId="49" fontId="6" fillId="0" borderId="11" xfId="2" applyNumberFormat="1" applyFont="1" applyBorder="1" applyAlignment="1">
      <alignment horizontal="center"/>
    </xf>
    <xf numFmtId="49" fontId="6" fillId="0" borderId="0" xfId="2" applyNumberFormat="1" applyFont="1" applyAlignment="1">
      <alignment horizontal="center" vertical="center" wrapText="1"/>
    </xf>
    <xf numFmtId="49" fontId="6" fillId="0" borderId="12" xfId="2" applyNumberFormat="1" applyFont="1" applyBorder="1" applyAlignment="1">
      <alignment horizontal="center" vertical="center" wrapText="1"/>
    </xf>
    <xf numFmtId="49" fontId="6" fillId="0" borderId="13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43" fontId="6" fillId="0" borderId="2" xfId="1" applyFont="1" applyBorder="1" applyAlignment="1">
      <alignment horizontal="center"/>
    </xf>
    <xf numFmtId="165" fontId="6" fillId="0" borderId="11" xfId="1" applyNumberFormat="1" applyFont="1" applyBorder="1" applyAlignment="1">
      <alignment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7" fillId="0" borderId="10" xfId="2" applyFont="1" applyBorder="1"/>
    <xf numFmtId="0" fontId="8" fillId="0" borderId="0" xfId="2" applyFont="1"/>
    <xf numFmtId="0" fontId="6" fillId="0" borderId="0" xfId="2" applyFont="1"/>
    <xf numFmtId="6" fontId="6" fillId="0" borderId="16" xfId="2" quotePrefix="1" applyNumberFormat="1" applyFont="1" applyBorder="1" applyAlignment="1">
      <alignment horizontal="center" vertical="center" wrapText="1"/>
    </xf>
    <xf numFmtId="49" fontId="6" fillId="0" borderId="17" xfId="2" applyNumberFormat="1" applyFont="1" applyBorder="1" applyAlignment="1">
      <alignment horizontal="center"/>
    </xf>
    <xf numFmtId="166" fontId="6" fillId="0" borderId="18" xfId="1" applyNumberFormat="1" applyFont="1" applyBorder="1" applyAlignment="1">
      <alignment vertical="center" wrapText="1"/>
    </xf>
    <xf numFmtId="49" fontId="6" fillId="0" borderId="19" xfId="2" applyNumberFormat="1" applyFont="1" applyBorder="1" applyAlignment="1">
      <alignment horizontal="center"/>
    </xf>
    <xf numFmtId="49" fontId="6" fillId="0" borderId="20" xfId="2" applyNumberFormat="1" applyFont="1" applyBorder="1" applyAlignment="1">
      <alignment vertical="center" wrapText="1"/>
    </xf>
    <xf numFmtId="49" fontId="6" fillId="0" borderId="18" xfId="2" applyNumberFormat="1" applyFont="1" applyBorder="1" applyAlignment="1">
      <alignment horizontal="center"/>
    </xf>
    <xf numFmtId="49" fontId="6" fillId="0" borderId="16" xfId="2" applyNumberFormat="1" applyFont="1" applyBorder="1" applyAlignment="1">
      <alignment vertical="center" wrapText="1"/>
    </xf>
    <xf numFmtId="0" fontId="3" fillId="0" borderId="18" xfId="2" applyBorder="1" applyAlignment="1">
      <alignment vertical="center" wrapText="1"/>
    </xf>
    <xf numFmtId="0" fontId="3" fillId="2" borderId="0" xfId="2" applyFill="1"/>
    <xf numFmtId="0" fontId="3" fillId="2" borderId="10" xfId="2" applyFill="1" applyBorder="1"/>
    <xf numFmtId="166" fontId="3" fillId="2" borderId="2" xfId="1" applyNumberFormat="1" applyFont="1" applyFill="1" applyBorder="1" applyAlignment="1">
      <alignment horizontal="center"/>
    </xf>
    <xf numFmtId="165" fontId="6" fillId="2" borderId="11" xfId="1" applyNumberFormat="1" applyFont="1" applyFill="1" applyBorder="1" applyAlignment="1">
      <alignment horizontal="center" vertical="center" wrapText="1"/>
    </xf>
    <xf numFmtId="166" fontId="3" fillId="2" borderId="0" xfId="1" applyNumberFormat="1" applyFont="1" applyFill="1" applyAlignment="1">
      <alignment horizontal="center"/>
    </xf>
    <xf numFmtId="10" fontId="3" fillId="2" borderId="0" xfId="2" applyNumberFormat="1" applyFill="1" applyAlignment="1">
      <alignment horizontal="center"/>
    </xf>
    <xf numFmtId="1" fontId="3" fillId="2" borderId="0" xfId="2" applyNumberFormat="1" applyFill="1" applyAlignment="1">
      <alignment horizontal="center"/>
    </xf>
    <xf numFmtId="165" fontId="6" fillId="2" borderId="0" xfId="1" applyNumberFormat="1" applyFont="1" applyFill="1" applyAlignment="1">
      <alignment horizontal="center" vertical="center" wrapText="1"/>
    </xf>
    <xf numFmtId="166" fontId="6" fillId="4" borderId="9" xfId="1" applyNumberFormat="1" applyFont="1" applyFill="1" applyBorder="1" applyAlignment="1">
      <alignment horizontal="center"/>
    </xf>
    <xf numFmtId="166" fontId="6" fillId="4" borderId="14" xfId="1" applyNumberFormat="1" applyFont="1" applyFill="1" applyBorder="1" applyAlignment="1">
      <alignment horizontal="center"/>
    </xf>
    <xf numFmtId="0" fontId="3" fillId="5" borderId="10" xfId="2" applyFill="1" applyBorder="1"/>
    <xf numFmtId="0" fontId="3" fillId="0" borderId="10" xfId="2" applyFont="1" applyBorder="1" applyAlignment="1">
      <alignment horizontal="left"/>
    </xf>
    <xf numFmtId="166" fontId="3" fillId="0" borderId="2" xfId="1" applyNumberFormat="1" applyFont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10" fontId="3" fillId="0" borderId="0" xfId="2" applyNumberFormat="1" applyAlignment="1">
      <alignment horizontal="center"/>
    </xf>
    <xf numFmtId="1" fontId="3" fillId="0" borderId="0" xfId="2" applyNumberFormat="1" applyAlignment="1">
      <alignment horizontal="center"/>
    </xf>
    <xf numFmtId="165" fontId="6" fillId="0" borderId="0" xfId="1" applyNumberFormat="1" applyFont="1" applyAlignment="1">
      <alignment horizontal="center" vertical="center" wrapText="1"/>
    </xf>
    <xf numFmtId="166" fontId="3" fillId="0" borderId="0" xfId="1" applyNumberFormat="1" applyFont="1" applyFill="1" applyAlignment="1">
      <alignment horizontal="center"/>
    </xf>
    <xf numFmtId="10" fontId="3" fillId="0" borderId="0" xfId="2" applyNumberFormat="1" applyFill="1" applyAlignment="1">
      <alignment horizontal="center"/>
    </xf>
    <xf numFmtId="1" fontId="3" fillId="0" borderId="0" xfId="2" applyNumberFormat="1" applyFill="1" applyAlignment="1">
      <alignment horizontal="center"/>
    </xf>
    <xf numFmtId="0" fontId="3" fillId="6" borderId="10" xfId="2" applyFill="1" applyBorder="1"/>
    <xf numFmtId="0" fontId="3" fillId="2" borderId="15" xfId="2" applyFill="1" applyBorder="1"/>
    <xf numFmtId="166" fontId="3" fillId="2" borderId="16" xfId="1" applyNumberFormat="1" applyFont="1" applyFill="1" applyBorder="1" applyAlignment="1">
      <alignment horizontal="center"/>
    </xf>
    <xf numFmtId="165" fontId="6" fillId="2" borderId="17" xfId="1" applyNumberFormat="1" applyFont="1" applyFill="1" applyBorder="1" applyAlignment="1">
      <alignment horizontal="center" vertical="center" wrapText="1"/>
    </xf>
    <xf numFmtId="166" fontId="3" fillId="2" borderId="18" xfId="1" applyNumberFormat="1" applyFont="1" applyFill="1" applyBorder="1" applyAlignment="1">
      <alignment horizontal="center"/>
    </xf>
    <xf numFmtId="10" fontId="3" fillId="2" borderId="18" xfId="2" applyNumberFormat="1" applyFill="1" applyBorder="1" applyAlignment="1">
      <alignment horizontal="center"/>
    </xf>
    <xf numFmtId="1" fontId="3" fillId="2" borderId="18" xfId="2" applyNumberFormat="1" applyFill="1" applyBorder="1" applyAlignment="1">
      <alignment horizontal="center"/>
    </xf>
    <xf numFmtId="1" fontId="3" fillId="2" borderId="16" xfId="2" applyNumberFormat="1" applyFill="1" applyBorder="1" applyAlignment="1">
      <alignment horizontal="center"/>
    </xf>
    <xf numFmtId="165" fontId="6" fillId="2" borderId="18" xfId="1" applyNumberFormat="1" applyFont="1" applyFill="1" applyBorder="1" applyAlignment="1">
      <alignment horizontal="center" vertical="center" wrapText="1"/>
    </xf>
    <xf numFmtId="166" fontId="6" fillId="4" borderId="21" xfId="1" applyNumberFormat="1" applyFont="1" applyFill="1" applyBorder="1" applyAlignment="1">
      <alignment horizontal="center"/>
    </xf>
    <xf numFmtId="166" fontId="6" fillId="0" borderId="0" xfId="1" applyNumberFormat="1" applyFont="1" applyAlignment="1">
      <alignment horizontal="center"/>
    </xf>
    <xf numFmtId="0" fontId="6" fillId="0" borderId="24" xfId="2" applyFont="1" applyBorder="1"/>
    <xf numFmtId="0" fontId="6" fillId="0" borderId="25" xfId="2" applyFont="1" applyBorder="1"/>
    <xf numFmtId="41" fontId="6" fillId="0" borderId="25" xfId="2" applyNumberFormat="1" applyFont="1" applyBorder="1"/>
    <xf numFmtId="10" fontId="6" fillId="0" borderId="25" xfId="2" applyNumberFormat="1" applyFont="1" applyBorder="1" applyAlignment="1">
      <alignment horizontal="center"/>
    </xf>
    <xf numFmtId="166" fontId="6" fillId="0" borderId="25" xfId="1" applyNumberFormat="1" applyFont="1" applyBorder="1"/>
    <xf numFmtId="1" fontId="6" fillId="0" borderId="25" xfId="2" applyNumberFormat="1" applyFont="1" applyBorder="1"/>
    <xf numFmtId="41" fontId="6" fillId="0" borderId="26" xfId="2" applyNumberFormat="1" applyFont="1" applyBorder="1"/>
    <xf numFmtId="164" fontId="3" fillId="0" borderId="0" xfId="1" applyNumberFormat="1" applyFont="1" applyAlignment="1">
      <alignment horizontal="center"/>
    </xf>
    <xf numFmtId="41" fontId="3" fillId="0" borderId="0" xfId="2" applyNumberFormat="1"/>
    <xf numFmtId="166" fontId="3" fillId="0" borderId="0" xfId="1" applyNumberFormat="1" applyFont="1"/>
    <xf numFmtId="1" fontId="3" fillId="0" borderId="0" xfId="2" applyNumberFormat="1"/>
    <xf numFmtId="0" fontId="3" fillId="0" borderId="24" xfId="2" applyBorder="1"/>
    <xf numFmtId="0" fontId="3" fillId="0" borderId="25" xfId="2" applyBorder="1"/>
    <xf numFmtId="0" fontId="3" fillId="0" borderId="26" xfId="2" applyBorder="1"/>
    <xf numFmtId="166" fontId="3" fillId="2" borderId="0" xfId="2" applyNumberFormat="1" applyFill="1" applyAlignment="1">
      <alignment horizontal="center"/>
    </xf>
    <xf numFmtId="166" fontId="3" fillId="0" borderId="0" xfId="2" applyNumberFormat="1"/>
    <xf numFmtId="166" fontId="3" fillId="0" borderId="22" xfId="2" applyNumberFormat="1" applyBorder="1"/>
    <xf numFmtId="0" fontId="3" fillId="0" borderId="15" xfId="2" applyBorder="1"/>
    <xf numFmtId="0" fontId="3" fillId="0" borderId="18" xfId="2" applyBorder="1"/>
    <xf numFmtId="0" fontId="3" fillId="0" borderId="23" xfId="2" applyBorder="1"/>
    <xf numFmtId="0" fontId="3" fillId="6" borderId="0" xfId="2" applyFill="1"/>
    <xf numFmtId="0" fontId="9" fillId="0" borderId="0" xfId="2" applyFont="1"/>
    <xf numFmtId="0" fontId="6" fillId="0" borderId="10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3" fillId="0" borderId="0" xfId="2" applyAlignment="1">
      <alignment horizontal="center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center" vertical="center" wrapText="1"/>
    </xf>
    <xf numFmtId="49" fontId="6" fillId="0" borderId="7" xfId="2" applyNumberFormat="1" applyFont="1" applyBorder="1" applyAlignment="1">
      <alignment horizontal="center" vertical="center" wrapText="1"/>
    </xf>
    <xf numFmtId="49" fontId="6" fillId="0" borderId="0" xfId="2" applyNumberFormat="1" applyFont="1" applyAlignment="1">
      <alignment horizontal="center" vertical="center" wrapText="1"/>
    </xf>
    <xf numFmtId="49" fontId="6" fillId="0" borderId="12" xfId="2" applyNumberFormat="1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 wrapText="1"/>
    </xf>
    <xf numFmtId="49" fontId="6" fillId="0" borderId="13" xfId="2" applyNumberFormat="1" applyFont="1" applyBorder="1" applyAlignment="1">
      <alignment horizontal="center" vertical="center" wrapText="1"/>
    </xf>
    <xf numFmtId="49" fontId="6" fillId="3" borderId="4" xfId="2" applyNumberFormat="1" applyFont="1" applyFill="1" applyBorder="1" applyAlignment="1">
      <alignment horizontal="center" vertical="center" wrapText="1"/>
    </xf>
    <xf numFmtId="49" fontId="6" fillId="3" borderId="5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49" fontId="6" fillId="3" borderId="11" xfId="2" applyNumberFormat="1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5" fontId="6" fillId="0" borderId="11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Alignment="1">
      <alignment horizontal="center" vertical="center" wrapText="1"/>
    </xf>
    <xf numFmtId="166" fontId="6" fillId="7" borderId="14" xfId="1" applyNumberFormat="1" applyFont="1" applyFill="1" applyBorder="1" applyAlignment="1">
      <alignment horizontal="center"/>
    </xf>
    <xf numFmtId="0" fontId="3" fillId="0" borderId="0" xfId="2" applyFill="1"/>
    <xf numFmtId="0" fontId="3" fillId="0" borderId="0" xfId="2" applyFill="1" applyBorder="1"/>
    <xf numFmtId="166" fontId="3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 vertical="center" wrapText="1"/>
    </xf>
    <xf numFmtId="10" fontId="3" fillId="0" borderId="0" xfId="2" applyNumberFormat="1" applyFill="1" applyBorder="1" applyAlignment="1">
      <alignment horizontal="center"/>
    </xf>
    <xf numFmtId="1" fontId="3" fillId="0" borderId="0" xfId="2" applyNumberForma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 2" xfId="2" xr:uid="{EFE41B7D-BBB6-4236-8100-7253A6E070F2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CRKN%202013-14%20Foreign%20Exchange%20Commitment%20am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SPRLNK201412L1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anding%20Spreadsheet%202019_no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lssci2014CRKNMemberMatch"/>
      <sheetName val="t&amp;f2013CRKNMemberMatch"/>
      <sheetName val="springer2014CRKNMemberMatch"/>
      <sheetName val="Sheet4"/>
    </sheetNames>
    <sheetDataSet>
      <sheetData sheetId="0" refreshError="1"/>
      <sheetData sheetId="1">
        <row r="3">
          <cell r="A3" t="str">
            <v>Acadia University</v>
          </cell>
          <cell r="B3">
            <v>56398.63</v>
          </cell>
          <cell r="C3">
            <v>55800</v>
          </cell>
        </row>
        <row r="4">
          <cell r="A4" t="str">
            <v>Cape Breton University</v>
          </cell>
          <cell r="B4">
            <v>19743.080000000002</v>
          </cell>
          <cell r="C4">
            <v>19500</v>
          </cell>
        </row>
        <row r="5">
          <cell r="A5" t="str">
            <v>Dalhousie University</v>
          </cell>
          <cell r="B5">
            <v>91865.48</v>
          </cell>
          <cell r="C5">
            <v>90900</v>
          </cell>
        </row>
        <row r="6">
          <cell r="A6" t="str">
            <v>Dalhousie's Agricultural Campus (formerly NSAC)</v>
          </cell>
          <cell r="B6">
            <v>37066.410000000003</v>
          </cell>
          <cell r="C6">
            <v>36700</v>
          </cell>
        </row>
        <row r="7">
          <cell r="A7" t="str">
            <v>Memorial University of Newfoundland</v>
          </cell>
          <cell r="B7">
            <v>76106.240000000005</v>
          </cell>
          <cell r="C7">
            <v>75300</v>
          </cell>
        </row>
        <row r="8">
          <cell r="A8" t="str">
            <v>Mount Allison University</v>
          </cell>
          <cell r="B8">
            <v>33727.360000000001</v>
          </cell>
          <cell r="C8">
            <v>33400</v>
          </cell>
        </row>
        <row r="9">
          <cell r="A9" t="str">
            <v>Mount Saint Vincent University</v>
          </cell>
          <cell r="B9">
            <v>41147.019999999997</v>
          </cell>
          <cell r="C9">
            <v>40700</v>
          </cell>
        </row>
        <row r="10">
          <cell r="A10" t="str">
            <v>Saint Mary's University</v>
          </cell>
          <cell r="B10">
            <v>79579.17</v>
          </cell>
          <cell r="C10">
            <v>78800</v>
          </cell>
        </row>
        <row r="11">
          <cell r="A11" t="str">
            <v>St. Francis Xavier University</v>
          </cell>
          <cell r="B11">
            <v>61914.65</v>
          </cell>
          <cell r="C11">
            <v>61300</v>
          </cell>
        </row>
        <row r="12">
          <cell r="A12" t="str">
            <v>Université de Moncton</v>
          </cell>
          <cell r="B12">
            <v>116799.38</v>
          </cell>
          <cell r="C12">
            <v>115600</v>
          </cell>
        </row>
        <row r="13">
          <cell r="A13" t="str">
            <v>Université Sainte-Anne</v>
          </cell>
          <cell r="B13">
            <v>3915.94</v>
          </cell>
          <cell r="C13">
            <v>3900</v>
          </cell>
        </row>
        <row r="14">
          <cell r="A14" t="str">
            <v>University of New Brunswick</v>
          </cell>
          <cell r="B14">
            <v>324774.45</v>
          </cell>
          <cell r="C14">
            <v>321500</v>
          </cell>
        </row>
        <row r="15">
          <cell r="A15" t="str">
            <v>University of Prince Edward Island</v>
          </cell>
          <cell r="B15">
            <v>160595.62</v>
          </cell>
          <cell r="C15">
            <v>159000</v>
          </cell>
        </row>
        <row r="16">
          <cell r="A16" t="str">
            <v>Bishop's University</v>
          </cell>
          <cell r="B16">
            <v>32239</v>
          </cell>
          <cell r="C16">
            <v>31900</v>
          </cell>
        </row>
        <row r="17">
          <cell r="A17" t="str">
            <v>Concordia University</v>
          </cell>
          <cell r="B17">
            <v>474931.86</v>
          </cell>
          <cell r="C17">
            <v>470200</v>
          </cell>
        </row>
        <row r="18">
          <cell r="A18" t="str">
            <v>McGill University</v>
          </cell>
          <cell r="B18">
            <v>1236796.8</v>
          </cell>
          <cell r="C18">
            <v>1224400</v>
          </cell>
        </row>
        <row r="19">
          <cell r="A19" t="str">
            <v>Université de Montréal</v>
          </cell>
          <cell r="B19">
            <v>1475838.77</v>
          </cell>
          <cell r="C19">
            <v>1461100</v>
          </cell>
        </row>
        <row r="20">
          <cell r="A20" t="str">
            <v>École Polytechnique de Montréal</v>
          </cell>
          <cell r="B20">
            <v>107142.39999999999</v>
          </cell>
          <cell r="C20">
            <v>106100</v>
          </cell>
        </row>
        <row r="21">
          <cell r="A21" t="str">
            <v>HEC Montréal</v>
          </cell>
          <cell r="B21">
            <v>127458.27</v>
          </cell>
          <cell r="C21">
            <v>126200</v>
          </cell>
        </row>
        <row r="22">
          <cell r="A22" t="str">
            <v>Université de Sherbrooke</v>
          </cell>
          <cell r="B22">
            <v>604316.5</v>
          </cell>
          <cell r="C22">
            <v>598300</v>
          </cell>
        </row>
        <row r="23">
          <cell r="A23" t="str">
            <v>Université du Québec à Chicoutimi</v>
          </cell>
          <cell r="B23">
            <v>43498.39</v>
          </cell>
          <cell r="C23">
            <v>43100</v>
          </cell>
        </row>
        <row r="24">
          <cell r="A24" t="str">
            <v>Université du Québec à Montréal</v>
          </cell>
          <cell r="B24">
            <v>518942.53</v>
          </cell>
          <cell r="C24">
            <v>513800</v>
          </cell>
        </row>
        <row r="25">
          <cell r="A25" t="str">
            <v>Université du Québec à Rimouski</v>
          </cell>
          <cell r="B25">
            <v>65670.91</v>
          </cell>
          <cell r="C25">
            <v>65000</v>
          </cell>
        </row>
        <row r="26">
          <cell r="A26" t="str">
            <v>Université du Québec à Trois-Rivières</v>
          </cell>
          <cell r="B26">
            <v>173766.54</v>
          </cell>
          <cell r="C26">
            <v>172000</v>
          </cell>
        </row>
        <row r="27">
          <cell r="A27" t="str">
            <v>Université du Québec en Abitibi-Témiscamingue</v>
          </cell>
          <cell r="B27">
            <v>14361.51</v>
          </cell>
          <cell r="C27">
            <v>14200</v>
          </cell>
        </row>
        <row r="28">
          <cell r="A28" t="str">
            <v>Université du Québec en Outaouais</v>
          </cell>
          <cell r="B28">
            <v>36155.21</v>
          </cell>
          <cell r="C28">
            <v>35800</v>
          </cell>
        </row>
        <row r="29">
          <cell r="A29" t="str">
            <v>École nationale d'administration publique</v>
          </cell>
          <cell r="B29">
            <v>6517.5</v>
          </cell>
          <cell r="C29">
            <v>6500</v>
          </cell>
        </row>
        <row r="30">
          <cell r="A30" t="str">
            <v>École de technologie supérieure</v>
          </cell>
          <cell r="B30">
            <v>49096.55</v>
          </cell>
          <cell r="C30">
            <v>48600</v>
          </cell>
        </row>
        <row r="31">
          <cell r="A31" t="str">
            <v>Institut national de la recherche scientifique</v>
          </cell>
          <cell r="B31">
            <v>65358.31</v>
          </cell>
          <cell r="C31">
            <v>64700</v>
          </cell>
        </row>
        <row r="32">
          <cell r="A32" t="str">
            <v>Télé-université du Québec</v>
          </cell>
          <cell r="B32">
            <v>12887.73</v>
          </cell>
          <cell r="C32">
            <v>12800</v>
          </cell>
        </row>
        <row r="33">
          <cell r="A33" t="str">
            <v>Université Laval</v>
          </cell>
          <cell r="B33">
            <v>920185.29</v>
          </cell>
          <cell r="C33">
            <v>911000</v>
          </cell>
        </row>
        <row r="34">
          <cell r="A34" t="str">
            <v>Brock University</v>
          </cell>
          <cell r="B34">
            <v>330405.68</v>
          </cell>
          <cell r="C34">
            <v>327100</v>
          </cell>
        </row>
        <row r="35">
          <cell r="A35" t="str">
            <v>Carleton University</v>
          </cell>
          <cell r="B35">
            <v>275056.37</v>
          </cell>
          <cell r="C35">
            <v>272300</v>
          </cell>
        </row>
        <row r="36">
          <cell r="A36" t="str">
            <v>Lakehead University</v>
          </cell>
          <cell r="B36">
            <v>131905.5</v>
          </cell>
          <cell r="C36">
            <v>130600</v>
          </cell>
        </row>
        <row r="37">
          <cell r="A37" t="str">
            <v>Laurentian University</v>
          </cell>
          <cell r="B37">
            <v>141576.54999999999</v>
          </cell>
          <cell r="C37">
            <v>140200</v>
          </cell>
        </row>
        <row r="38">
          <cell r="A38" t="str">
            <v>McMaster University</v>
          </cell>
          <cell r="B38">
            <v>1570998.19</v>
          </cell>
          <cell r="C38">
            <v>1555300</v>
          </cell>
        </row>
        <row r="39">
          <cell r="A39" t="str">
            <v>Nipissing University</v>
          </cell>
          <cell r="B39">
            <v>19159.490000000002</v>
          </cell>
          <cell r="C39">
            <v>19000</v>
          </cell>
        </row>
        <row r="40">
          <cell r="A40" t="str">
            <v>Queen's University</v>
          </cell>
          <cell r="B40">
            <v>1314782.8700000001</v>
          </cell>
          <cell r="C40">
            <v>1301600</v>
          </cell>
        </row>
        <row r="41">
          <cell r="A41" t="str">
            <v>Royal Military College of Canada</v>
          </cell>
          <cell r="B41">
            <v>236299.37</v>
          </cell>
          <cell r="C41">
            <v>233900</v>
          </cell>
        </row>
        <row r="42">
          <cell r="A42" t="str">
            <v>Ryerson University</v>
          </cell>
          <cell r="B42">
            <v>185618.09</v>
          </cell>
          <cell r="C42">
            <v>183800</v>
          </cell>
        </row>
        <row r="43">
          <cell r="A43" t="str">
            <v>Trent University</v>
          </cell>
          <cell r="B43">
            <v>67604.600000000006</v>
          </cell>
          <cell r="C43">
            <v>66900</v>
          </cell>
        </row>
        <row r="44">
          <cell r="A44" t="str">
            <v>University of Guelph</v>
          </cell>
          <cell r="B44">
            <v>534722.75</v>
          </cell>
          <cell r="C44">
            <v>529400</v>
          </cell>
        </row>
        <row r="45">
          <cell r="A45" t="str">
            <v>University of Ontario Institute of Technology</v>
          </cell>
          <cell r="B45">
            <v>18504.66</v>
          </cell>
          <cell r="C45">
            <v>18300</v>
          </cell>
        </row>
        <row r="46">
          <cell r="A46" t="str">
            <v>University of Ottawa</v>
          </cell>
          <cell r="B46">
            <v>914604.02</v>
          </cell>
          <cell r="C46">
            <v>905500</v>
          </cell>
        </row>
        <row r="47">
          <cell r="A47" t="str">
            <v>University of Toronto</v>
          </cell>
          <cell r="B47">
            <v>2858007.15</v>
          </cell>
          <cell r="C47">
            <v>2829400</v>
          </cell>
        </row>
        <row r="48">
          <cell r="A48" t="str">
            <v>University of Waterloo</v>
          </cell>
          <cell r="B48">
            <v>1278940.93</v>
          </cell>
          <cell r="C48">
            <v>1266200</v>
          </cell>
        </row>
        <row r="49">
          <cell r="A49" t="str">
            <v>Western University</v>
          </cell>
          <cell r="B49">
            <v>1644897.61</v>
          </cell>
          <cell r="C49">
            <v>1628400</v>
          </cell>
        </row>
        <row r="50">
          <cell r="A50" t="str">
            <v>University of Windsor</v>
          </cell>
          <cell r="B50">
            <v>401835.95</v>
          </cell>
          <cell r="C50">
            <v>397800</v>
          </cell>
        </row>
        <row r="51">
          <cell r="A51" t="str">
            <v>Wilfrid Laurier University</v>
          </cell>
          <cell r="B51">
            <v>163380.70000000001</v>
          </cell>
          <cell r="C51">
            <v>161700</v>
          </cell>
        </row>
        <row r="52">
          <cell r="A52" t="str">
            <v>York University</v>
          </cell>
          <cell r="B52">
            <v>948303.25</v>
          </cell>
          <cell r="C52">
            <v>938800</v>
          </cell>
        </row>
        <row r="53">
          <cell r="A53" t="str">
            <v>Athabasca University</v>
          </cell>
          <cell r="B53">
            <v>27927.63</v>
          </cell>
          <cell r="C53">
            <v>27600</v>
          </cell>
        </row>
        <row r="54">
          <cell r="A54" t="str">
            <v>Brandon University</v>
          </cell>
          <cell r="B54">
            <v>22524.33</v>
          </cell>
          <cell r="C54">
            <v>22300</v>
          </cell>
        </row>
        <row r="55">
          <cell r="A55" t="str">
            <v>Concordia University College of Alberta</v>
          </cell>
          <cell r="B55">
            <v>15525.51</v>
          </cell>
          <cell r="C55">
            <v>15400</v>
          </cell>
        </row>
        <row r="56">
          <cell r="A56" t="str">
            <v>Kwantlen Polytechnic University</v>
          </cell>
          <cell r="B56">
            <v>72977</v>
          </cell>
          <cell r="C56">
            <v>72200</v>
          </cell>
        </row>
        <row r="57">
          <cell r="A57" t="str">
            <v>Mount Royal University</v>
          </cell>
          <cell r="B57">
            <v>81722.320000000007</v>
          </cell>
          <cell r="C57">
            <v>80900</v>
          </cell>
        </row>
        <row r="58">
          <cell r="A58" t="str">
            <v>Royal Roads University</v>
          </cell>
          <cell r="B58">
            <v>10429.11</v>
          </cell>
          <cell r="C58">
            <v>10300</v>
          </cell>
        </row>
        <row r="59">
          <cell r="A59" t="str">
            <v>Simon Fraser University</v>
          </cell>
          <cell r="B59">
            <v>1106854.49</v>
          </cell>
          <cell r="C59">
            <v>1095800</v>
          </cell>
        </row>
        <row r="60">
          <cell r="A60" t="str">
            <v>The King's University College (Alberta)</v>
          </cell>
          <cell r="B60">
            <v>4624.22</v>
          </cell>
          <cell r="C60">
            <v>4600</v>
          </cell>
        </row>
        <row r="61">
          <cell r="A61" t="str">
            <v>Thompson Rivers University</v>
          </cell>
          <cell r="B61">
            <v>84172.74</v>
          </cell>
          <cell r="C61">
            <v>83300</v>
          </cell>
        </row>
        <row r="62">
          <cell r="A62" t="str">
            <v>Trinity Western University</v>
          </cell>
          <cell r="B62">
            <v>17000.349999999999</v>
          </cell>
          <cell r="C62">
            <v>16800</v>
          </cell>
        </row>
        <row r="63">
          <cell r="A63" t="str">
            <v>University of Alberta</v>
          </cell>
          <cell r="B63">
            <v>1735260.58</v>
          </cell>
          <cell r="C63">
            <v>1717900</v>
          </cell>
        </row>
        <row r="64">
          <cell r="A64" t="str">
            <v>University of British Columbia</v>
          </cell>
          <cell r="B64">
            <v>1982659.68</v>
          </cell>
          <cell r="C64">
            <v>1962800</v>
          </cell>
        </row>
        <row r="65">
          <cell r="A65" t="str">
            <v>University of Calgary</v>
          </cell>
          <cell r="B65">
            <v>953630.53</v>
          </cell>
          <cell r="C65">
            <v>944100</v>
          </cell>
        </row>
        <row r="66">
          <cell r="A66" t="str">
            <v>University of Lethbridge</v>
          </cell>
          <cell r="B66">
            <v>86621.51</v>
          </cell>
          <cell r="C66">
            <v>85800</v>
          </cell>
        </row>
        <row r="67">
          <cell r="A67" t="str">
            <v>University of Manitoba</v>
          </cell>
          <cell r="B67">
            <v>968603.38</v>
          </cell>
          <cell r="C67">
            <v>958900</v>
          </cell>
        </row>
        <row r="68">
          <cell r="A68" t="str">
            <v>University of Northern British Columbia</v>
          </cell>
          <cell r="B68">
            <v>148180.28</v>
          </cell>
          <cell r="C68">
            <v>146700</v>
          </cell>
        </row>
        <row r="69">
          <cell r="A69" t="str">
            <v>University of Regina</v>
          </cell>
          <cell r="B69">
            <v>313173.59000000003</v>
          </cell>
          <cell r="C69">
            <v>310000</v>
          </cell>
        </row>
        <row r="70">
          <cell r="A70" t="str">
            <v>University of Saskatchewan</v>
          </cell>
          <cell r="B70">
            <v>1038095.78</v>
          </cell>
          <cell r="C70">
            <v>1027700</v>
          </cell>
        </row>
        <row r="71">
          <cell r="A71" t="str">
            <v>University of the Fraser Valley</v>
          </cell>
          <cell r="B71">
            <v>74308.100000000006</v>
          </cell>
          <cell r="C71">
            <v>73600</v>
          </cell>
        </row>
        <row r="72">
          <cell r="A72" t="str">
            <v>University of Victoria</v>
          </cell>
          <cell r="B72">
            <v>647406.97</v>
          </cell>
          <cell r="C72">
            <v>640900</v>
          </cell>
        </row>
        <row r="73">
          <cell r="A73" t="str">
            <v>University of Winnipeg</v>
          </cell>
          <cell r="B73">
            <v>99333.67</v>
          </cell>
          <cell r="C73">
            <v>98300</v>
          </cell>
        </row>
        <row r="74">
          <cell r="A74" t="str">
            <v>Vancouver Island University</v>
          </cell>
          <cell r="B74">
            <v>84617.45</v>
          </cell>
          <cell r="C74">
            <v>83800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#2"/>
      <sheetName val="Template"/>
      <sheetName val="Data"/>
    </sheetNames>
    <sheetDataSet>
      <sheetData sheetId="0"/>
      <sheetData sheetId="1"/>
      <sheetData sheetId="2">
        <row r="4">
          <cell r="A4" t="str">
            <v>Drop Member List BELOW ROW 4 in this Column</v>
          </cell>
          <cell r="B4" t="str">
            <v>Drop dollar amounts BELOW ROW 4 in these columns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MEMBER</v>
          </cell>
          <cell r="B5" t="str">
            <v>Estimated</v>
          </cell>
          <cell r="C5" t="str">
            <v>Schedule 2 Actual</v>
          </cell>
          <cell r="D5" t="str">
            <v>Column 4</v>
          </cell>
          <cell r="E5" t="str">
            <v>Column 5</v>
          </cell>
          <cell r="F5" t="str">
            <v>Column 6</v>
          </cell>
          <cell r="G5" t="str">
            <v>Column 7</v>
          </cell>
          <cell r="H5" t="str">
            <v>Column 8</v>
          </cell>
          <cell r="I5" t="str">
            <v>Column 9</v>
          </cell>
          <cell r="J5" t="str">
            <v>Column 10</v>
          </cell>
          <cell r="K5" t="str">
            <v>Column 11</v>
          </cell>
          <cell r="L5" t="str">
            <v>Column 12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Acadia University</v>
          </cell>
          <cell r="B7">
            <v>26800</v>
          </cell>
          <cell r="C7">
            <v>26800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Cape Breton University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Dalhousie University</v>
          </cell>
          <cell r="B9">
            <v>209100</v>
          </cell>
          <cell r="C9">
            <v>209100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Dalhousie's Agricultural Campus (formerly NSAC)</v>
          </cell>
          <cell r="B10">
            <v>7100</v>
          </cell>
          <cell r="C10">
            <v>7100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Memorial University of Newfoundland</v>
          </cell>
          <cell r="B11">
            <v>215700</v>
          </cell>
          <cell r="C11">
            <v>215700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Mount Allison University</v>
          </cell>
          <cell r="B12">
            <v>13200</v>
          </cell>
          <cell r="C12">
            <v>13200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Mount Saint Vincent University</v>
          </cell>
          <cell r="B13">
            <v>22900</v>
          </cell>
          <cell r="C13">
            <v>22900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NSCAD University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Saint Mary's University</v>
          </cell>
          <cell r="B15">
            <v>35400</v>
          </cell>
          <cell r="C15">
            <v>35400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St. Francis Xavier University</v>
          </cell>
          <cell r="B16">
            <v>36800</v>
          </cell>
          <cell r="C16">
            <v>36800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Université de Moncton</v>
          </cell>
          <cell r="B17">
            <v>46800</v>
          </cell>
          <cell r="C17">
            <v>46800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Université Sainte-Anne</v>
          </cell>
          <cell r="B18">
            <v>2600</v>
          </cell>
          <cell r="C18">
            <v>2600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University of New Brunswick</v>
          </cell>
          <cell r="B19">
            <v>127400</v>
          </cell>
          <cell r="C19">
            <v>127400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University of Prince Edward Island</v>
          </cell>
          <cell r="B20">
            <v>25500</v>
          </cell>
          <cell r="C20">
            <v>25500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0</v>
          </cell>
          <cell r="B21">
            <v>769300</v>
          </cell>
          <cell r="C21">
            <v>769300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QUEBEC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Bishop's University</v>
          </cell>
          <cell r="B24">
            <v>17700</v>
          </cell>
          <cell r="C24">
            <v>17700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Concordia University</v>
          </cell>
          <cell r="B25">
            <v>159900</v>
          </cell>
          <cell r="C25">
            <v>159900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École Polytechnique de Montréal</v>
          </cell>
          <cell r="B26">
            <v>56100</v>
          </cell>
          <cell r="C26">
            <v>56100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HEC Montréal</v>
          </cell>
          <cell r="B27">
            <v>8900</v>
          </cell>
          <cell r="C27">
            <v>8900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McGill University</v>
          </cell>
          <cell r="B28">
            <v>412400</v>
          </cell>
          <cell r="C28">
            <v>412400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Université de Montréal</v>
          </cell>
          <cell r="B29">
            <v>502100</v>
          </cell>
          <cell r="C29">
            <v>502100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Université de Sherbrooke</v>
          </cell>
          <cell r="B30">
            <v>160000</v>
          </cell>
          <cell r="C30">
            <v>160000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Université du Québec: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 xml:space="preserve">   École de technologie supérieure</v>
          </cell>
          <cell r="B32">
            <v>22100</v>
          </cell>
          <cell r="C32">
            <v>22100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 xml:space="preserve">   École nationale d'administration publique</v>
          </cell>
          <cell r="B33">
            <v>5000</v>
          </cell>
          <cell r="C33">
            <v>5000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 xml:space="preserve">   Institut national de la recherche scientifique</v>
          </cell>
          <cell r="B34">
            <v>28500</v>
          </cell>
          <cell r="C34">
            <v>28500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 xml:space="preserve">   Télé-université du Québec</v>
          </cell>
          <cell r="B35">
            <v>12100</v>
          </cell>
          <cell r="C35">
            <v>12100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 xml:space="preserve">   Université du Québec à Chicoutimi</v>
          </cell>
          <cell r="B36">
            <v>32800</v>
          </cell>
          <cell r="C36">
            <v>32800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 xml:space="preserve">   Université du Québec à Montréal</v>
          </cell>
          <cell r="B37">
            <v>165400</v>
          </cell>
          <cell r="C37">
            <v>165400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 xml:space="preserve">   Université du Québec à Rimouski</v>
          </cell>
          <cell r="B38">
            <v>24500</v>
          </cell>
          <cell r="C38">
            <v>24500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 xml:space="preserve">   Université du Québec à Trois-Rivières</v>
          </cell>
          <cell r="B39">
            <v>50700</v>
          </cell>
          <cell r="C39">
            <v>50700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   Université du Québec en Abitibi-Témiscamingue</v>
          </cell>
          <cell r="B40">
            <v>12800</v>
          </cell>
          <cell r="C40">
            <v>12800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 xml:space="preserve">   Université du Québec en Outaouais</v>
          </cell>
          <cell r="B41">
            <v>22200</v>
          </cell>
          <cell r="C41">
            <v>22200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Université Laval</v>
          </cell>
          <cell r="B42">
            <v>387500</v>
          </cell>
          <cell r="C42">
            <v>387500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2080700</v>
          </cell>
          <cell r="C43">
            <v>2080700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ONTARIO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Algoma University</v>
          </cell>
          <cell r="B46">
            <v>8300</v>
          </cell>
          <cell r="C46">
            <v>8300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Brock University</v>
          </cell>
          <cell r="B47">
            <v>88900</v>
          </cell>
          <cell r="C47">
            <v>88900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Carleton University</v>
          </cell>
          <cell r="B48">
            <v>137600</v>
          </cell>
          <cell r="C48">
            <v>137600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Lakehead University</v>
          </cell>
          <cell r="B49">
            <v>48000</v>
          </cell>
          <cell r="C49">
            <v>48000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Laurentian University</v>
          </cell>
          <cell r="B50">
            <v>52200</v>
          </cell>
          <cell r="C50">
            <v>52200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McMaster University</v>
          </cell>
          <cell r="B51">
            <v>389000</v>
          </cell>
          <cell r="C51">
            <v>389000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Nipissing University</v>
          </cell>
          <cell r="B52">
            <v>10700</v>
          </cell>
          <cell r="C52">
            <v>10700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OCAD University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Queen's University</v>
          </cell>
          <cell r="B54">
            <v>315900</v>
          </cell>
          <cell r="C54">
            <v>315900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Royal Military College of Canada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Ryerson University</v>
          </cell>
          <cell r="B56">
            <v>82600</v>
          </cell>
          <cell r="C56">
            <v>82600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Trent University</v>
          </cell>
          <cell r="B57">
            <v>41600</v>
          </cell>
          <cell r="C57">
            <v>41600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University of Guelph</v>
          </cell>
          <cell r="B58">
            <v>234900</v>
          </cell>
          <cell r="C58">
            <v>234900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University of Ontario Institute of Technology</v>
          </cell>
          <cell r="B59">
            <v>3500</v>
          </cell>
          <cell r="C59">
            <v>3500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University of Ottawa</v>
          </cell>
          <cell r="B60">
            <v>284300</v>
          </cell>
          <cell r="C60">
            <v>284300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University of Toronto</v>
          </cell>
          <cell r="B61">
            <v>987600</v>
          </cell>
          <cell r="C61">
            <v>987600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University of Waterloo</v>
          </cell>
          <cell r="B62">
            <v>342100</v>
          </cell>
          <cell r="C62">
            <v>342100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University of Windsor</v>
          </cell>
          <cell r="B63">
            <v>66200</v>
          </cell>
          <cell r="C63">
            <v>66200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Western University</v>
          </cell>
          <cell r="B64">
            <v>374700</v>
          </cell>
          <cell r="C64">
            <v>374700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Wilfrid Laurier University</v>
          </cell>
          <cell r="B65">
            <v>73700</v>
          </cell>
          <cell r="C65">
            <v>73700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York University</v>
          </cell>
          <cell r="B66">
            <v>344400</v>
          </cell>
          <cell r="C66">
            <v>344400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0</v>
          </cell>
          <cell r="B67">
            <v>3886200</v>
          </cell>
          <cell r="C67">
            <v>3886200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WESTERN REGION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Athabasca University</v>
          </cell>
          <cell r="B70">
            <v>18300</v>
          </cell>
          <cell r="C70">
            <v>18300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Brandon University</v>
          </cell>
          <cell r="B71">
            <v>20000</v>
          </cell>
          <cell r="C71">
            <v>20000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Concordia University College of Alberta</v>
          </cell>
          <cell r="B72">
            <v>10200</v>
          </cell>
          <cell r="C72">
            <v>10200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Kwantlen Polytechnic University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MacEwan University</v>
          </cell>
          <cell r="B74">
            <v>35200</v>
          </cell>
          <cell r="C74">
            <v>35200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Mount Royal University</v>
          </cell>
          <cell r="B75">
            <v>8200</v>
          </cell>
          <cell r="C75">
            <v>8200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Royal Roads University</v>
          </cell>
          <cell r="B76">
            <v>6800</v>
          </cell>
          <cell r="C76">
            <v>6800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Simon Fraser University</v>
          </cell>
          <cell r="B77">
            <v>194300</v>
          </cell>
          <cell r="C77">
            <v>194300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The King's University College (Alberta)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Thompson Rivers University</v>
          </cell>
          <cell r="B79">
            <v>45900</v>
          </cell>
          <cell r="C79">
            <v>45900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Trinity Western University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University of Alberta</v>
          </cell>
          <cell r="B81">
            <v>526900</v>
          </cell>
          <cell r="C81">
            <v>526900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University of British Columbia</v>
          </cell>
          <cell r="B82">
            <v>606600</v>
          </cell>
          <cell r="C82">
            <v>606600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University of Calgary</v>
          </cell>
          <cell r="B83">
            <v>300900</v>
          </cell>
          <cell r="C83">
            <v>300900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University of Lethbridge</v>
          </cell>
          <cell r="B84">
            <v>50100</v>
          </cell>
          <cell r="C84">
            <v>50100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University of Manitoba</v>
          </cell>
          <cell r="B85">
            <v>288000</v>
          </cell>
          <cell r="C85">
            <v>288000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University of Northern British Columbia</v>
          </cell>
          <cell r="B86">
            <v>51300</v>
          </cell>
          <cell r="C86">
            <v>51300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University of Regina</v>
          </cell>
          <cell r="B87">
            <v>85300</v>
          </cell>
          <cell r="C87">
            <v>85300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University of Saskatchewan</v>
          </cell>
          <cell r="B88">
            <v>297200</v>
          </cell>
          <cell r="C88">
            <v>297200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University of the Fraser Valley</v>
          </cell>
          <cell r="B89">
            <v>49700</v>
          </cell>
          <cell r="C89">
            <v>49700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University of Victoria</v>
          </cell>
          <cell r="B90">
            <v>210400</v>
          </cell>
          <cell r="C90">
            <v>210400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University of Winnipeg</v>
          </cell>
          <cell r="B91">
            <v>51100</v>
          </cell>
          <cell r="C91">
            <v>51100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Vancouver Island University</v>
          </cell>
          <cell r="B92">
            <v>39500</v>
          </cell>
          <cell r="C92">
            <v>39500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0</v>
          </cell>
          <cell r="B93">
            <v>2895900</v>
          </cell>
          <cell r="C93">
            <v>2895900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GRAND TOTAL</v>
          </cell>
          <cell r="B95">
            <v>9632100</v>
          </cell>
          <cell r="C95">
            <v>9632100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ding System"/>
      <sheetName val="SponsoredResearch"/>
      <sheetName val="AUCC fall enrolment data"/>
      <sheetName val="Faculty"/>
      <sheetName val="Sheet1"/>
      <sheetName val="CAUBO14-15"/>
      <sheetName val="caubo15-16"/>
      <sheetName val="CAUBO16-17"/>
      <sheetName val="2016 Student FTE"/>
      <sheetName val="2017 Student FTE"/>
      <sheetName val="2018 Student FTE"/>
      <sheetName val="Lookup"/>
      <sheetName val="Overview by Member"/>
      <sheetName val="Usage ACS Web Editions"/>
    </sheetNames>
    <sheetDataSet>
      <sheetData sheetId="0"/>
      <sheetData sheetId="1">
        <row r="7">
          <cell r="B7" t="str">
            <v>Université Sainte-Anne</v>
          </cell>
          <cell r="C7">
            <v>1</v>
          </cell>
          <cell r="D7">
            <v>201</v>
          </cell>
          <cell r="E7">
            <v>2.9732333557731094E-5</v>
          </cell>
          <cell r="F7">
            <v>127</v>
          </cell>
          <cell r="G7">
            <v>1.861441614711193E-5</v>
          </cell>
          <cell r="H7">
            <v>279</v>
          </cell>
          <cell r="I7">
            <v>1.8894442995539871E-5</v>
          </cell>
          <cell r="J7">
            <v>337</v>
          </cell>
          <cell r="K7">
            <v>4.1254137612565388E-5</v>
          </cell>
          <cell r="L7">
            <v>252</v>
          </cell>
          <cell r="M7">
            <v>4.8768261326103089E-5</v>
          </cell>
          <cell r="N7">
            <v>427</v>
          </cell>
          <cell r="O7">
            <v>3.4117711248541703E-5</v>
          </cell>
          <cell r="Q7">
            <v>339</v>
          </cell>
        </row>
        <row r="8">
          <cell r="B8" t="str">
            <v>The King's University</v>
          </cell>
          <cell r="C8">
            <v>1</v>
          </cell>
          <cell r="D8">
            <v>231</v>
          </cell>
          <cell r="E8">
            <v>3.4169995282765584E-5</v>
          </cell>
          <cell r="F8">
            <v>246</v>
          </cell>
          <cell r="G8">
            <v>3.6056270647161693E-5</v>
          </cell>
          <cell r="H8">
            <v>227</v>
          </cell>
          <cell r="I8">
            <v>3.3771957165256301E-5</v>
          </cell>
          <cell r="J8">
            <v>352</v>
          </cell>
          <cell r="K8">
            <v>5.2048230966390741E-5</v>
          </cell>
          <cell r="L8">
            <v>213</v>
          </cell>
          <cell r="M8">
            <v>3.0823856565163077E-5</v>
          </cell>
          <cell r="N8">
            <v>198</v>
          </cell>
          <cell r="O8">
            <v>2.6806773123854196E-5</v>
          </cell>
          <cell r="Q8">
            <v>254</v>
          </cell>
        </row>
        <row r="9">
          <cell r="B9" t="str">
            <v>NSCAD University</v>
          </cell>
          <cell r="C9">
            <v>1</v>
          </cell>
          <cell r="D9">
            <v>543</v>
          </cell>
          <cell r="E9">
            <v>8.0321677223124305E-5</v>
          </cell>
          <cell r="F9">
            <v>549</v>
          </cell>
          <cell r="G9">
            <v>8.0467043029641333E-5</v>
          </cell>
          <cell r="H9">
            <v>476</v>
          </cell>
          <cell r="I9">
            <v>7.0816967447850219E-5</v>
          </cell>
          <cell r="J9">
            <v>526</v>
          </cell>
          <cell r="K9">
            <v>7.7776617864549802E-5</v>
          </cell>
          <cell r="L9">
            <v>274</v>
          </cell>
          <cell r="M9">
            <v>3.9651346004012602E-5</v>
          </cell>
          <cell r="N9">
            <v>475</v>
          </cell>
          <cell r="O9">
            <v>6.4309177948640114E-5</v>
          </cell>
          <cell r="Q9">
            <v>425</v>
          </cell>
        </row>
        <row r="10">
          <cell r="B10" t="str">
            <v>Algoma University</v>
          </cell>
          <cell r="C10">
            <v>1</v>
          </cell>
          <cell r="D10">
            <v>1239</v>
          </cell>
          <cell r="E10">
            <v>1.832754292439245E-4</v>
          </cell>
          <cell r="F10">
            <v>1831</v>
          </cell>
          <cell r="G10">
            <v>2.6837004697135387E-4</v>
          </cell>
          <cell r="H10">
            <v>1658</v>
          </cell>
          <cell r="I10">
            <v>2.4666918493389847E-4</v>
          </cell>
          <cell r="J10">
            <v>1077</v>
          </cell>
          <cell r="K10">
            <v>1.5924984304205349E-4</v>
          </cell>
          <cell r="L10">
            <v>853</v>
          </cell>
          <cell r="M10">
            <v>1.2344013920227281E-4</v>
          </cell>
          <cell r="N10">
            <v>917</v>
          </cell>
          <cell r="O10">
            <v>1.2415056037663787E-4</v>
          </cell>
          <cell r="Q10">
            <v>949</v>
          </cell>
        </row>
        <row r="11">
          <cell r="B11" t="str">
            <v>Concordia University of Edmonton</v>
          </cell>
          <cell r="C11">
            <v>1</v>
          </cell>
          <cell r="D11">
            <v>30</v>
          </cell>
          <cell r="E11">
            <v>4.4376617250344919E-6</v>
          </cell>
          <cell r="F11">
            <v>151</v>
          </cell>
          <cell r="G11">
            <v>2.2132101088298435E-5</v>
          </cell>
          <cell r="H11">
            <v>0</v>
          </cell>
          <cell r="I11">
            <v>0</v>
          </cell>
          <cell r="J11">
            <v>35</v>
          </cell>
          <cell r="K11">
            <v>5.1752502381354435E-6</v>
          </cell>
          <cell r="L11">
            <v>207</v>
          </cell>
          <cell r="M11">
            <v>2.9955578915440177E-5</v>
          </cell>
          <cell r="N11">
            <v>137</v>
          </cell>
          <cell r="O11">
            <v>1.8548120797818308E-5</v>
          </cell>
          <cell r="Q11">
            <v>126</v>
          </cell>
        </row>
        <row r="12">
          <cell r="B12" t="str">
            <v>École nationale d'administration publique</v>
          </cell>
          <cell r="C12">
            <v>1</v>
          </cell>
          <cell r="D12">
            <v>5279</v>
          </cell>
          <cell r="E12">
            <v>7.8088054154856941E-4</v>
          </cell>
          <cell r="F12">
            <v>4021</v>
          </cell>
          <cell r="G12">
            <v>5.8935879785462254E-4</v>
          </cell>
          <cell r="H12">
            <v>4199</v>
          </cell>
          <cell r="I12">
            <v>6.2470681998639307E-4</v>
          </cell>
          <cell r="J12">
            <v>5644</v>
          </cell>
          <cell r="K12">
            <v>8.345460669724697E-4</v>
          </cell>
          <cell r="L12">
            <v>3484</v>
          </cell>
          <cell r="M12">
            <v>5.0417988860576601E-4</v>
          </cell>
          <cell r="N12">
            <v>3301</v>
          </cell>
          <cell r="O12">
            <v>4.4691493980728638E-4</v>
          </cell>
          <cell r="Q12">
            <v>4143</v>
          </cell>
        </row>
        <row r="13">
          <cell r="B13" t="str">
            <v>Trinity Western University</v>
          </cell>
          <cell r="C13">
            <v>2</v>
          </cell>
          <cell r="D13">
            <v>760</v>
          </cell>
          <cell r="E13">
            <v>1.1242076370087379E-4</v>
          </cell>
          <cell r="F13">
            <v>1695</v>
          </cell>
          <cell r="G13">
            <v>2.48436498971297E-4</v>
          </cell>
          <cell r="H13">
            <v>1309</v>
          </cell>
          <cell r="I13">
            <v>1.947466604815881E-4</v>
          </cell>
          <cell r="J13">
            <v>1186</v>
          </cell>
          <cell r="K13">
            <v>1.7536705092653244E-4</v>
          </cell>
          <cell r="L13">
            <v>1542</v>
          </cell>
          <cell r="M13">
            <v>2.2314735597878625E-4</v>
          </cell>
          <cell r="N13">
            <v>1392</v>
          </cell>
          <cell r="O13">
            <v>1.8845973832527798E-4</v>
          </cell>
          <cell r="Q13">
            <v>1373</v>
          </cell>
        </row>
        <row r="14">
          <cell r="B14" t="str">
            <v>Bishop's University</v>
          </cell>
          <cell r="C14">
            <v>1</v>
          </cell>
          <cell r="D14">
            <v>1349</v>
          </cell>
          <cell r="E14">
            <v>1.9954685556905098E-4</v>
          </cell>
          <cell r="F14">
            <v>2034</v>
          </cell>
          <cell r="G14">
            <v>2.9812379876555643E-4</v>
          </cell>
          <cell r="H14">
            <v>1363</v>
          </cell>
          <cell r="I14">
            <v>2.0278051813323497E-4</v>
          </cell>
          <cell r="J14">
            <v>1507</v>
          </cell>
          <cell r="K14">
            <v>2.2283148882486036E-4</v>
          </cell>
          <cell r="L14">
            <v>1426</v>
          </cell>
          <cell r="M14">
            <v>2.063606547508101E-4</v>
          </cell>
          <cell r="N14">
            <v>1040</v>
          </cell>
          <cell r="O14">
            <v>1.4080325277175942E-4</v>
          </cell>
          <cell r="Q14">
            <v>1324</v>
          </cell>
        </row>
        <row r="15">
          <cell r="B15" t="str">
            <v>Mount Saint Vincent University</v>
          </cell>
          <cell r="C15">
            <v>2</v>
          </cell>
          <cell r="D15">
            <v>2633</v>
          </cell>
          <cell r="E15">
            <v>3.8947877740052721E-4</v>
          </cell>
          <cell r="F15">
            <v>2372</v>
          </cell>
          <cell r="G15">
            <v>3.4766452835393306E-4</v>
          </cell>
          <cell r="H15">
            <v>2369</v>
          </cell>
          <cell r="I15">
            <v>3.5244831068058228E-4</v>
          </cell>
          <cell r="J15">
            <v>3198</v>
          </cell>
          <cell r="K15">
            <v>4.7287000747306136E-4</v>
          </cell>
          <cell r="L15">
            <v>2075</v>
          </cell>
          <cell r="M15">
            <v>3.0027935386250416E-4</v>
          </cell>
          <cell r="N15">
            <v>2658</v>
          </cell>
          <cell r="O15">
            <v>3.5986062102628513E-4</v>
          </cell>
          <cell r="Q15">
            <v>2644</v>
          </cell>
        </row>
        <row r="16">
          <cell r="B16" t="str">
            <v>Cape Breton University</v>
          </cell>
          <cell r="C16">
            <v>2</v>
          </cell>
          <cell r="D16">
            <v>3619</v>
          </cell>
          <cell r="E16">
            <v>5.3532992609666081E-4</v>
          </cell>
          <cell r="F16">
            <v>2704</v>
          </cell>
          <cell r="G16">
            <v>3.9632583670701303E-4</v>
          </cell>
          <cell r="H16">
            <v>4021</v>
          </cell>
          <cell r="I16">
            <v>5.9822484476429775E-4</v>
          </cell>
          <cell r="J16">
            <v>5522</v>
          </cell>
          <cell r="K16">
            <v>8.1650662328525473E-4</v>
          </cell>
          <cell r="L16">
            <v>5562</v>
          </cell>
          <cell r="M16">
            <v>8.0489338129313172E-4</v>
          </cell>
          <cell r="N16">
            <v>6719</v>
          </cell>
          <cell r="O16">
            <v>9.0967024555139574E-4</v>
          </cell>
          <cell r="Q16">
            <v>5934</v>
          </cell>
        </row>
        <row r="17">
          <cell r="B17" t="str">
            <v>Royal Roads University</v>
          </cell>
          <cell r="C17">
            <v>1</v>
          </cell>
          <cell r="D17">
            <v>2340</v>
          </cell>
          <cell r="E17">
            <v>3.4613761455269036E-4</v>
          </cell>
          <cell r="F17">
            <v>1652</v>
          </cell>
          <cell r="G17">
            <v>2.4213398011833784E-4</v>
          </cell>
          <cell r="H17">
            <v>2002</v>
          </cell>
          <cell r="I17">
            <v>2.97847833677723E-4</v>
          </cell>
          <cell r="J17">
            <v>1693</v>
          </cell>
          <cell r="K17">
            <v>2.5033424723323731E-4</v>
          </cell>
          <cell r="L17">
            <v>1876</v>
          </cell>
          <cell r="M17">
            <v>2.7148147848002785E-4</v>
          </cell>
          <cell r="N17">
            <v>2031</v>
          </cell>
          <cell r="O17">
            <v>2.7497250613408019E-4</v>
          </cell>
          <cell r="Q17">
            <v>1867</v>
          </cell>
        </row>
        <row r="18">
          <cell r="B18" t="str">
            <v>Université du Québec en Abitibi-Témiscamingue</v>
          </cell>
          <cell r="C18">
            <v>2</v>
          </cell>
          <cell r="D18">
            <v>17235</v>
          </cell>
          <cell r="E18">
            <v>2.5494366610323157E-3</v>
          </cell>
          <cell r="F18">
            <v>16511</v>
          </cell>
          <cell r="G18">
            <v>2.4200206693304337E-3</v>
          </cell>
          <cell r="H18">
            <v>14343</v>
          </cell>
          <cell r="I18">
            <v>2.1338818573624278E-3</v>
          </cell>
          <cell r="J18">
            <v>16167</v>
          </cell>
          <cell r="K18">
            <v>2.3905220171410203E-3</v>
          </cell>
          <cell r="L18">
            <v>15758</v>
          </cell>
          <cell r="M18">
            <v>2.2803865340555859E-3</v>
          </cell>
          <cell r="N18">
            <v>16153</v>
          </cell>
          <cell r="O18">
            <v>2.1869182134829131E-3</v>
          </cell>
          <cell r="Q18">
            <v>16026</v>
          </cell>
        </row>
        <row r="19">
          <cell r="B19" t="str">
            <v>Mount Allison University</v>
          </cell>
          <cell r="C19">
            <v>2</v>
          </cell>
          <cell r="D19">
            <v>4066</v>
          </cell>
          <cell r="E19">
            <v>6.0145108579967479E-4</v>
          </cell>
          <cell r="F19">
            <v>3990</v>
          </cell>
          <cell r="G19">
            <v>5.8481512147225666E-4</v>
          </cell>
          <cell r="H19">
            <v>3825</v>
          </cell>
          <cell r="I19">
            <v>5.690649169916536E-4</v>
          </cell>
          <cell r="J19">
            <v>3848</v>
          </cell>
          <cell r="K19">
            <v>5.6898179760986247E-4</v>
          </cell>
          <cell r="L19">
            <v>4214</v>
          </cell>
          <cell r="M19">
            <v>6.0982033598871934E-4</v>
          </cell>
          <cell r="N19">
            <v>4330</v>
          </cell>
          <cell r="O19">
            <v>5.8622892740549837E-4</v>
          </cell>
          <cell r="Q19">
            <v>4131</v>
          </cell>
        </row>
        <row r="20">
          <cell r="B20" t="str">
            <v>Brandon University</v>
          </cell>
          <cell r="C20">
            <v>2</v>
          </cell>
          <cell r="D20">
            <v>2698</v>
          </cell>
          <cell r="E20">
            <v>3.9909371113810196E-4</v>
          </cell>
          <cell r="F20">
            <v>2172</v>
          </cell>
          <cell r="G20">
            <v>3.183504871773788E-4</v>
          </cell>
          <cell r="H20">
            <v>2507</v>
          </cell>
          <cell r="I20">
            <v>3.72979280234791E-4</v>
          </cell>
          <cell r="J20">
            <v>2435</v>
          </cell>
          <cell r="K20">
            <v>3.6004955228170868E-4</v>
          </cell>
          <cell r="L20">
            <v>2188</v>
          </cell>
          <cell r="M20">
            <v>3.1663191626561888E-4</v>
          </cell>
          <cell r="N20">
            <v>2079</v>
          </cell>
          <cell r="O20">
            <v>2.8147111780046908E-4</v>
          </cell>
          <cell r="Q20">
            <v>2234</v>
          </cell>
        </row>
        <row r="21">
          <cell r="B21" t="str">
            <v>OCAD University</v>
          </cell>
          <cell r="C21">
            <v>2</v>
          </cell>
          <cell r="D21">
            <v>4573</v>
          </cell>
          <cell r="E21">
            <v>6.7644756895275768E-4</v>
          </cell>
          <cell r="F21">
            <v>2802</v>
          </cell>
          <cell r="G21">
            <v>4.106897168835246E-4</v>
          </cell>
          <cell r="H21">
            <v>4992</v>
          </cell>
          <cell r="I21">
            <v>7.4268550735224429E-4</v>
          </cell>
          <cell r="J21">
            <v>4507</v>
          </cell>
          <cell r="K21">
            <v>6.6642436637932693E-4</v>
          </cell>
          <cell r="L21">
            <v>5073</v>
          </cell>
          <cell r="M21">
            <v>7.3412875284071502E-4</v>
          </cell>
          <cell r="N21">
            <v>3388</v>
          </cell>
          <cell r="O21">
            <v>4.5869367345261624E-4</v>
          </cell>
          <cell r="Q21">
            <v>4323</v>
          </cell>
        </row>
        <row r="22">
          <cell r="B22" t="str">
            <v>Télé-université du Québec</v>
          </cell>
          <cell r="C22">
            <v>2</v>
          </cell>
          <cell r="D22">
            <v>2457</v>
          </cell>
          <cell r="E22">
            <v>3.6344449528032488E-4</v>
          </cell>
          <cell r="F22">
            <v>2709</v>
          </cell>
          <cell r="G22">
            <v>3.9705868773642688E-4</v>
          </cell>
          <cell r="H22">
            <v>3084</v>
          </cell>
          <cell r="I22">
            <v>4.5882253699405481E-4</v>
          </cell>
          <cell r="J22">
            <v>3088</v>
          </cell>
          <cell r="K22">
            <v>4.5660493529606422E-4</v>
          </cell>
          <cell r="L22">
            <v>2666</v>
          </cell>
          <cell r="M22">
            <v>3.858047023602102E-4</v>
          </cell>
          <cell r="N22">
            <v>3480</v>
          </cell>
          <cell r="O22">
            <v>4.7114934581319495E-4</v>
          </cell>
          <cell r="Q22">
            <v>3078</v>
          </cell>
        </row>
        <row r="23">
          <cell r="B23" t="str">
            <v>Nipissing University</v>
          </cell>
          <cell r="C23">
            <v>2</v>
          </cell>
          <cell r="D23">
            <v>2040</v>
          </cell>
          <cell r="E23">
            <v>3.0176099730234545E-4</v>
          </cell>
          <cell r="F23">
            <v>1962</v>
          </cell>
          <cell r="G23">
            <v>2.8757074394199689E-4</v>
          </cell>
          <cell r="H23">
            <v>2440</v>
          </cell>
          <cell r="I23">
            <v>3.6301134574108094E-4</v>
          </cell>
          <cell r="J23">
            <v>2089</v>
          </cell>
          <cell r="K23">
            <v>3.0888850707042688E-4</v>
          </cell>
          <cell r="L23">
            <v>2138</v>
          </cell>
          <cell r="M23">
            <v>3.0939626918459468E-4</v>
          </cell>
          <cell r="N23">
            <v>2385</v>
          </cell>
          <cell r="O23">
            <v>3.2289976717369829E-4</v>
          </cell>
          <cell r="Q23">
            <v>2204</v>
          </cell>
        </row>
        <row r="24">
          <cell r="B24" t="str">
            <v>University of Northern British Columbia</v>
          </cell>
          <cell r="C24">
            <v>3</v>
          </cell>
          <cell r="D24">
            <v>11854</v>
          </cell>
          <cell r="E24">
            <v>1.7534680696186288E-3</v>
          </cell>
          <cell r="F24">
            <v>10105</v>
          </cell>
          <cell r="G24">
            <v>1.4810919304454019E-3</v>
          </cell>
          <cell r="H24">
            <v>12323</v>
          </cell>
          <cell r="I24">
            <v>1.833356071134156E-3</v>
          </cell>
          <cell r="J24">
            <v>11329</v>
          </cell>
          <cell r="K24">
            <v>1.6751545699381838E-3</v>
          </cell>
          <cell r="L24">
            <v>7640</v>
          </cell>
          <cell r="M24">
            <v>1.1056068739804974E-3</v>
          </cell>
          <cell r="N24">
            <v>9913</v>
          </cell>
          <cell r="O24">
            <v>1.3420986968523568E-3</v>
          </cell>
          <cell r="Q24">
            <v>9627</v>
          </cell>
        </row>
        <row r="25">
          <cell r="B25" t="str">
            <v>Acadia University</v>
          </cell>
          <cell r="C25">
            <v>2</v>
          </cell>
          <cell r="D25">
            <v>6512</v>
          </cell>
          <cell r="E25">
            <v>9.6326843844748696E-4</v>
          </cell>
          <cell r="F25">
            <v>6966</v>
          </cell>
          <cell r="G25">
            <v>1.0210080541793835E-3</v>
          </cell>
          <cell r="H25">
            <v>7017</v>
          </cell>
          <cell r="I25">
            <v>1.0439551692890021E-3</v>
          </cell>
          <cell r="J25">
            <v>6022</v>
          </cell>
          <cell r="K25">
            <v>8.9043876954433257E-4</v>
          </cell>
          <cell r="L25">
            <v>6822</v>
          </cell>
          <cell r="M25">
            <v>9.8723168773494157E-4</v>
          </cell>
          <cell r="N25">
            <v>5299</v>
          </cell>
          <cell r="O25">
            <v>7.1741965042072418E-4</v>
          </cell>
          <cell r="Q25">
            <v>6048</v>
          </cell>
        </row>
        <row r="26">
          <cell r="B26" t="str">
            <v>Royal Military College of Canada</v>
          </cell>
          <cell r="C26">
            <v>2</v>
          </cell>
          <cell r="D26">
            <v>19856</v>
          </cell>
          <cell r="E26">
            <v>2.9371403737428288E-3</v>
          </cell>
          <cell r="F26">
            <v>14962</v>
          </cell>
          <cell r="G26">
            <v>2.1929834204180211E-3</v>
          </cell>
          <cell r="H26">
            <v>16021</v>
          </cell>
          <cell r="I26">
            <v>2.3835265451302699E-3</v>
          </cell>
          <cell r="J26">
            <v>11913</v>
          </cell>
          <cell r="K26">
            <v>1.7615073167687866E-3</v>
          </cell>
          <cell r="L26">
            <v>12484</v>
          </cell>
          <cell r="M26">
            <v>1.8065963631901216E-3</v>
          </cell>
          <cell r="N26">
            <v>12903</v>
          </cell>
          <cell r="O26">
            <v>1.7469080485711652E-3</v>
          </cell>
          <cell r="Q26">
            <v>12433</v>
          </cell>
        </row>
        <row r="27">
          <cell r="B27" t="str">
            <v>Université du Québec en Outaouais</v>
          </cell>
          <cell r="C27">
            <v>2</v>
          </cell>
          <cell r="D27">
            <v>8189</v>
          </cell>
          <cell r="E27">
            <v>1.2113337288769152E-3</v>
          </cell>
          <cell r="F27">
            <v>8598</v>
          </cell>
          <cell r="G27">
            <v>1.2602106301800658E-3</v>
          </cell>
          <cell r="H27">
            <v>8067</v>
          </cell>
          <cell r="I27">
            <v>1.2001690680710246E-3</v>
          </cell>
          <cell r="J27">
            <v>7485</v>
          </cell>
          <cell r="K27">
            <v>1.1067642294983941E-3</v>
          </cell>
          <cell r="L27">
            <v>7859</v>
          </cell>
          <cell r="M27">
            <v>1.1372990081953832E-3</v>
          </cell>
          <cell r="N27">
            <v>7095</v>
          </cell>
          <cell r="O27">
            <v>9.605760369381087E-4</v>
          </cell>
          <cell r="Q27">
            <v>7480</v>
          </cell>
        </row>
        <row r="28">
          <cell r="B28" t="str">
            <v>École de technologie supérieure</v>
          </cell>
          <cell r="C28">
            <v>3</v>
          </cell>
          <cell r="D28">
            <v>20048</v>
          </cell>
          <cell r="E28">
            <v>2.9655414087830499E-3</v>
          </cell>
          <cell r="F28">
            <v>23883</v>
          </cell>
          <cell r="G28">
            <v>3.500536227098222E-3</v>
          </cell>
          <cell r="H28">
            <v>26614</v>
          </cell>
          <cell r="I28">
            <v>3.9595016211283317E-3</v>
          </cell>
          <cell r="J28">
            <v>27871</v>
          </cell>
          <cell r="K28">
            <v>4.1211256967735128E-3</v>
          </cell>
          <cell r="L28">
            <v>26116</v>
          </cell>
          <cell r="M28">
            <v>3.7793231833605587E-3</v>
          </cell>
          <cell r="N28">
            <v>27610</v>
          </cell>
          <cell r="O28">
            <v>3.7380555856041131E-3</v>
          </cell>
          <cell r="Q28">
            <v>27199</v>
          </cell>
        </row>
        <row r="29">
          <cell r="B29" t="str">
            <v>St. Francis Xavier University</v>
          </cell>
          <cell r="C29">
            <v>3</v>
          </cell>
          <cell r="D29">
            <v>8989</v>
          </cell>
          <cell r="E29">
            <v>1.3296713748778349E-3</v>
          </cell>
          <cell r="F29">
            <v>8845</v>
          </cell>
          <cell r="G29">
            <v>1.2964134710331103E-3</v>
          </cell>
          <cell r="H29">
            <v>8643</v>
          </cell>
          <cell r="I29">
            <v>1.2858635496885912E-3</v>
          </cell>
          <cell r="J29">
            <v>7156</v>
          </cell>
          <cell r="K29">
            <v>1.058116877259921E-3</v>
          </cell>
          <cell r="L29">
            <v>8334</v>
          </cell>
          <cell r="M29">
            <v>1.2060376554651133E-3</v>
          </cell>
          <cell r="N29">
            <v>7665</v>
          </cell>
          <cell r="O29">
            <v>1.0377470504764768E-3</v>
          </cell>
          <cell r="Q29">
            <v>7718</v>
          </cell>
        </row>
        <row r="30">
          <cell r="B30" t="str">
            <v>Université du Québec à Rimouski</v>
          </cell>
          <cell r="C30">
            <v>3</v>
          </cell>
          <cell r="D30">
            <v>24768</v>
          </cell>
          <cell r="E30">
            <v>3.6637335201884762E-3</v>
          </cell>
          <cell r="F30">
            <v>20580</v>
          </cell>
          <cell r="G30">
            <v>3.0164148370674291E-3</v>
          </cell>
          <cell r="H30">
            <v>18742</v>
          </cell>
          <cell r="I30">
            <v>2.7883437056882539E-3</v>
          </cell>
          <cell r="J30">
            <v>17222</v>
          </cell>
          <cell r="K30">
            <v>2.5465188457476744E-3</v>
          </cell>
          <cell r="L30">
            <v>15963</v>
          </cell>
          <cell r="M30">
            <v>2.310052687087785E-3</v>
          </cell>
          <cell r="N30">
            <v>20581</v>
          </cell>
          <cell r="O30">
            <v>2.7864151397072891E-3</v>
          </cell>
          <cell r="Q30">
            <v>17922</v>
          </cell>
        </row>
        <row r="31">
          <cell r="B31" t="str">
            <v>University of the Fraser Valley</v>
          </cell>
          <cell r="C31">
            <v>3</v>
          </cell>
          <cell r="D31">
            <v>1203</v>
          </cell>
          <cell r="E31">
            <v>1.7795023517388312E-4</v>
          </cell>
          <cell r="F31">
            <v>1144</v>
          </cell>
          <cell r="G31">
            <v>1.6767631552989012E-4</v>
          </cell>
          <cell r="H31">
            <v>1537</v>
          </cell>
          <cell r="I31">
            <v>2.2866739278854157E-4</v>
          </cell>
          <cell r="J31">
            <v>1361</v>
          </cell>
          <cell r="K31">
            <v>2.0124330211720965E-4</v>
          </cell>
          <cell r="L31">
            <v>1324</v>
          </cell>
          <cell r="M31">
            <v>1.9159993470552075E-4</v>
          </cell>
          <cell r="N31">
            <v>1381</v>
          </cell>
          <cell r="O31">
            <v>1.8697047315173053E-4</v>
          </cell>
          <cell r="Q31">
            <v>1355</v>
          </cell>
        </row>
        <row r="32">
          <cell r="B32" t="str">
            <v>University of Prince Edward Island</v>
          </cell>
          <cell r="C32">
            <v>3</v>
          </cell>
          <cell r="D32">
            <v>15893</v>
          </cell>
          <cell r="E32">
            <v>2.3509252598657724E-3</v>
          </cell>
          <cell r="F32">
            <v>17391</v>
          </cell>
          <cell r="G32">
            <v>2.549002450507272E-3</v>
          </cell>
          <cell r="H32">
            <v>13236</v>
          </cell>
          <cell r="I32">
            <v>1.9691877755036672E-3</v>
          </cell>
          <cell r="J32">
            <v>11667</v>
          </cell>
          <cell r="K32">
            <v>1.7251327008093204E-3</v>
          </cell>
          <cell r="L32">
            <v>13136</v>
          </cell>
          <cell r="M32">
            <v>1.900949201126677E-3</v>
          </cell>
          <cell r="N32">
            <v>12867</v>
          </cell>
          <cell r="O32">
            <v>1.7420340898213734E-3</v>
          </cell>
          <cell r="Q32">
            <v>12557</v>
          </cell>
        </row>
        <row r="33">
          <cell r="B33" t="str">
            <v>Université du Québec à Chicoutimi</v>
          </cell>
          <cell r="C33">
            <v>3</v>
          </cell>
          <cell r="D33">
            <v>25687</v>
          </cell>
          <cell r="E33">
            <v>3.7996738910320328E-3</v>
          </cell>
          <cell r="F33">
            <v>27418</v>
          </cell>
          <cell r="G33">
            <v>4.0186619048938176E-3</v>
          </cell>
          <cell r="H33">
            <v>27436</v>
          </cell>
          <cell r="I33">
            <v>4.0817947876034006E-3</v>
          </cell>
          <cell r="J33">
            <v>24597</v>
          </cell>
          <cell r="K33">
            <v>3.6370180030690711E-3</v>
          </cell>
          <cell r="L33">
            <v>22449</v>
          </cell>
          <cell r="M33">
            <v>3.2486608264382442E-3</v>
          </cell>
          <cell r="N33">
            <v>24945</v>
          </cell>
          <cell r="O33">
            <v>3.3772472503764794E-3</v>
          </cell>
          <cell r="Q33">
            <v>23997</v>
          </cell>
        </row>
        <row r="34">
          <cell r="B34" t="str">
            <v>Université de Moncton</v>
          </cell>
          <cell r="C34">
            <v>4</v>
          </cell>
          <cell r="D34">
            <v>8019</v>
          </cell>
          <cell r="E34">
            <v>1.1861869791017197E-3</v>
          </cell>
          <cell r="F34">
            <v>8596</v>
          </cell>
          <cell r="G34">
            <v>1.2599174897683003E-3</v>
          </cell>
          <cell r="H34">
            <v>10763</v>
          </cell>
          <cell r="I34">
            <v>1.6012668500865797E-3</v>
          </cell>
          <cell r="J34">
            <v>10079</v>
          </cell>
          <cell r="K34">
            <v>1.4903242042904894E-3</v>
          </cell>
          <cell r="L34">
            <v>12057</v>
          </cell>
          <cell r="M34">
            <v>1.744803937118175E-3</v>
          </cell>
          <cell r="N34">
            <v>11952</v>
          </cell>
          <cell r="O34">
            <v>1.618154304930835E-3</v>
          </cell>
          <cell r="Q34">
            <v>11363</v>
          </cell>
        </row>
        <row r="35">
          <cell r="B35" t="str">
            <v>University of Ontario Institute of Technology</v>
          </cell>
          <cell r="C35">
            <v>2</v>
          </cell>
          <cell r="D35">
            <v>9665</v>
          </cell>
          <cell r="E35">
            <v>1.429666685748612E-3</v>
          </cell>
          <cell r="F35">
            <v>10562</v>
          </cell>
          <cell r="G35">
            <v>1.5480745145338283E-3</v>
          </cell>
          <cell r="H35">
            <v>9820</v>
          </cell>
          <cell r="I35">
            <v>1.4609718914661536E-3</v>
          </cell>
          <cell r="J35">
            <v>9677</v>
          </cell>
          <cell r="K35">
            <v>1.4308827586981909E-3</v>
          </cell>
          <cell r="L35">
            <v>10084</v>
          </cell>
          <cell r="M35">
            <v>1.4592853033009601E-3</v>
          </cell>
          <cell r="N35">
            <v>11335</v>
          </cell>
          <cell r="O35">
            <v>1.5346200674691279E-3</v>
          </cell>
          <cell r="Q35">
            <v>10365</v>
          </cell>
        </row>
        <row r="36">
          <cell r="B36" t="str">
            <v>Vancouver Island University</v>
          </cell>
          <cell r="C36">
            <v>4</v>
          </cell>
          <cell r="D36">
            <v>2082</v>
          </cell>
          <cell r="E36">
            <v>3.079737237173937E-4</v>
          </cell>
          <cell r="F36">
            <v>2632</v>
          </cell>
          <cell r="G36">
            <v>3.8577278188345354E-4</v>
          </cell>
          <cell r="H36">
            <v>1936</v>
          </cell>
          <cell r="I36">
            <v>2.8802867432571014E-4</v>
          </cell>
          <cell r="J36">
            <v>1810</v>
          </cell>
          <cell r="K36">
            <v>2.6763436945786149E-4</v>
          </cell>
          <cell r="L36">
            <v>1868</v>
          </cell>
          <cell r="M36">
            <v>2.7032377494706403E-4</v>
          </cell>
          <cell r="N36">
            <v>1749</v>
          </cell>
          <cell r="O36">
            <v>2.3679316259404541E-4</v>
          </cell>
          <cell r="Q36">
            <v>1809</v>
          </cell>
        </row>
        <row r="37">
          <cell r="B37" t="str">
            <v>Saint Mary's University</v>
          </cell>
          <cell r="C37">
            <v>3</v>
          </cell>
          <cell r="D37">
            <v>7528</v>
          </cell>
          <cell r="E37">
            <v>1.1135572488686551E-3</v>
          </cell>
          <cell r="F37">
            <v>8306</v>
          </cell>
          <cell r="G37">
            <v>1.2174121300622968E-3</v>
          </cell>
          <cell r="H37">
            <v>8735</v>
          </cell>
          <cell r="I37">
            <v>1.2995508627247304E-3</v>
          </cell>
          <cell r="J37">
            <v>8661</v>
          </cell>
          <cell r="K37">
            <v>1.280652637499745E-3</v>
          </cell>
          <cell r="L37">
            <v>7324</v>
          </cell>
          <cell r="M37">
            <v>1.0598775844284244E-3</v>
          </cell>
          <cell r="N37">
            <v>8260</v>
          </cell>
          <cell r="O37">
            <v>1.1183027575910893E-3</v>
          </cell>
          <cell r="Q37">
            <v>8082</v>
          </cell>
        </row>
        <row r="38">
          <cell r="B38" t="str">
            <v>Institut national de la recherche scientifique</v>
          </cell>
          <cell r="C38">
            <v>3</v>
          </cell>
          <cell r="D38">
            <v>62226</v>
          </cell>
          <cell r="E38">
            <v>9.2045979500665429E-3</v>
          </cell>
          <cell r="F38">
            <v>55778</v>
          </cell>
          <cell r="G38">
            <v>8.175392943729206E-3</v>
          </cell>
          <cell r="H38">
            <v>61903</v>
          </cell>
          <cell r="I38">
            <v>9.2096275964795634E-3</v>
          </cell>
          <cell r="J38">
            <v>53352</v>
          </cell>
          <cell r="K38">
            <v>7.8888557344286327E-3</v>
          </cell>
          <cell r="L38">
            <v>55748</v>
          </cell>
          <cell r="M38">
            <v>8.0674570694587392E-3</v>
          </cell>
          <cell r="N38">
            <v>64434</v>
          </cell>
          <cell r="O38">
            <v>8.7235738356687947E-3</v>
          </cell>
          <cell r="Q38">
            <v>57845</v>
          </cell>
        </row>
        <row r="39">
          <cell r="B39" t="str">
            <v>Thompson Rivers University</v>
          </cell>
          <cell r="C39">
            <v>3</v>
          </cell>
          <cell r="D39">
            <v>2918</v>
          </cell>
          <cell r="E39">
            <v>4.3163656378835492E-4</v>
          </cell>
          <cell r="F39">
            <v>2730</v>
          </cell>
          <cell r="G39">
            <v>4.0013666205996511E-4</v>
          </cell>
          <cell r="H39">
            <v>2581</v>
          </cell>
          <cell r="I39">
            <v>3.8398864072038114E-4</v>
          </cell>
          <cell r="J39">
            <v>1844</v>
          </cell>
          <cell r="K39">
            <v>2.7266175540347875E-4</v>
          </cell>
          <cell r="L39">
            <v>2541</v>
          </cell>
          <cell r="M39">
            <v>3.6771558465764973E-4</v>
          </cell>
          <cell r="N39">
            <v>2395</v>
          </cell>
          <cell r="O39">
            <v>3.2425364460419596E-4</v>
          </cell>
          <cell r="Q39">
            <v>2260</v>
          </cell>
        </row>
        <row r="40">
          <cell r="B40" t="str">
            <v>Trent University</v>
          </cell>
          <cell r="C40">
            <v>4</v>
          </cell>
          <cell r="D40">
            <v>13842</v>
          </cell>
          <cell r="E40">
            <v>2.0475371199309145E-3</v>
          </cell>
          <cell r="F40">
            <v>14310</v>
          </cell>
          <cell r="G40">
            <v>2.0974196461824544E-3</v>
          </cell>
          <cell r="H40">
            <v>14575</v>
          </cell>
          <cell r="I40">
            <v>2.1683976902361702E-3</v>
          </cell>
          <cell r="J40">
            <v>14857</v>
          </cell>
          <cell r="K40">
            <v>2.1968197939422366E-3</v>
          </cell>
          <cell r="L40">
            <v>12310</v>
          </cell>
          <cell r="M40">
            <v>1.7814163113481574E-3</v>
          </cell>
          <cell r="N40">
            <v>11411</v>
          </cell>
          <cell r="O40">
            <v>1.5449095359409103E-3</v>
          </cell>
          <cell r="Q40">
            <v>12859</v>
          </cell>
        </row>
        <row r="41">
          <cell r="B41" t="str">
            <v>Kwantlen Polytechnic University</v>
          </cell>
          <cell r="C41">
            <v>5</v>
          </cell>
          <cell r="D41">
            <v>1120</v>
          </cell>
          <cell r="E41">
            <v>1.6567270440128769E-4</v>
          </cell>
          <cell r="F41">
            <v>987</v>
          </cell>
          <cell r="G41">
            <v>1.4466479320629508E-4</v>
          </cell>
          <cell r="H41">
            <v>1307</v>
          </cell>
          <cell r="I41">
            <v>1.9444911019819377E-4</v>
          </cell>
          <cell r="J41">
            <v>1040</v>
          </cell>
          <cell r="K41">
            <v>1.5377886421888174E-4</v>
          </cell>
          <cell r="L41">
            <v>876</v>
          </cell>
          <cell r="M41">
            <v>1.2676853685954394E-4</v>
          </cell>
          <cell r="N41">
            <v>1611</v>
          </cell>
          <cell r="O41">
            <v>2.1810965405317734E-4</v>
          </cell>
          <cell r="Q41">
            <v>1176</v>
          </cell>
        </row>
        <row r="42">
          <cell r="B42" t="str">
            <v>HEC Montréal</v>
          </cell>
          <cell r="C42">
            <v>3</v>
          </cell>
          <cell r="D42">
            <v>14730</v>
          </cell>
          <cell r="E42">
            <v>2.1788919069919356E-3</v>
          </cell>
          <cell r="F42">
            <v>15567</v>
          </cell>
          <cell r="G42">
            <v>2.2816583949770977E-3</v>
          </cell>
          <cell r="H42">
            <v>16038</v>
          </cell>
          <cell r="I42">
            <v>2.3860557225391216E-3</v>
          </cell>
          <cell r="J42">
            <v>15828</v>
          </cell>
          <cell r="K42">
            <v>2.3403960219773655E-3</v>
          </cell>
          <cell r="L42">
            <v>17507</v>
          </cell>
          <cell r="M42">
            <v>2.5334894689498125E-3</v>
          </cell>
          <cell r="N42">
            <v>20192</v>
          </cell>
          <cell r="O42">
            <v>2.733749307660929E-3</v>
          </cell>
          <cell r="Q42">
            <v>17842</v>
          </cell>
        </row>
        <row r="43">
          <cell r="B43" t="str">
            <v>Athabasca University</v>
          </cell>
          <cell r="C43">
            <v>3</v>
          </cell>
          <cell r="D43">
            <v>5209</v>
          </cell>
          <cell r="E43">
            <v>7.7052599752348893E-4</v>
          </cell>
          <cell r="F43">
            <v>5150</v>
          </cell>
          <cell r="G43">
            <v>7.5483656029627112E-4</v>
          </cell>
          <cell r="H43">
            <v>6157</v>
          </cell>
          <cell r="I43">
            <v>9.1600854742944081E-4</v>
          </cell>
          <cell r="J43">
            <v>4120</v>
          </cell>
          <cell r="K43">
            <v>6.0920088517480071E-4</v>
          </cell>
          <cell r="L43">
            <v>3993</v>
          </cell>
          <cell r="M43">
            <v>5.7783877589059234E-4</v>
          </cell>
          <cell r="N43">
            <v>3574</v>
          </cell>
          <cell r="O43">
            <v>4.8387579365987321E-4</v>
          </cell>
          <cell r="Q43">
            <v>3896</v>
          </cell>
        </row>
        <row r="44">
          <cell r="B44" t="str">
            <v>University of Winnipeg</v>
          </cell>
          <cell r="C44">
            <v>3</v>
          </cell>
          <cell r="D44">
            <v>7537</v>
          </cell>
          <cell r="E44">
            <v>1.1148885473861656E-3</v>
          </cell>
          <cell r="F44">
            <v>8177</v>
          </cell>
          <cell r="G44">
            <v>1.1985045735034192E-3</v>
          </cell>
          <cell r="H44">
            <v>7851</v>
          </cell>
          <cell r="I44">
            <v>1.1680336374644371E-3</v>
          </cell>
          <cell r="J44">
            <v>8359</v>
          </cell>
          <cell r="K44">
            <v>1.235997621159262E-3</v>
          </cell>
          <cell r="L44">
            <v>7730</v>
          </cell>
          <cell r="M44">
            <v>1.1186310387263408E-3</v>
          </cell>
          <cell r="N44">
            <v>9524</v>
          </cell>
          <cell r="O44">
            <v>1.2894328648059969E-3</v>
          </cell>
          <cell r="Q44">
            <v>8538</v>
          </cell>
        </row>
        <row r="45">
          <cell r="B45" t="str">
            <v>Lakehead University</v>
          </cell>
          <cell r="C45">
            <v>4</v>
          </cell>
          <cell r="D45">
            <v>23450</v>
          </cell>
          <cell r="E45">
            <v>3.4687722484019611E-3</v>
          </cell>
          <cell r="F45">
            <v>22067</v>
          </cell>
          <cell r="G45">
            <v>3.2343647332151097E-3</v>
          </cell>
          <cell r="H45">
            <v>22344</v>
          </cell>
          <cell r="I45">
            <v>3.32423176608144E-3</v>
          </cell>
          <cell r="J45">
            <v>21449</v>
          </cell>
          <cell r="K45">
            <v>3.1715412102219175E-3</v>
          </cell>
          <cell r="L45">
            <v>19694</v>
          </cell>
          <cell r="M45">
            <v>2.8499766722738106E-3</v>
          </cell>
          <cell r="N45">
            <v>21007</v>
          </cell>
          <cell r="O45">
            <v>2.8440903182464904E-3</v>
          </cell>
          <cell r="Q45">
            <v>20717</v>
          </cell>
        </row>
        <row r="46">
          <cell r="B46" t="str">
            <v>Laurentian University</v>
          </cell>
          <cell r="C46">
            <v>4</v>
          </cell>
          <cell r="D46">
            <v>14064</v>
          </cell>
          <cell r="E46">
            <v>2.0803758166961697E-3</v>
          </cell>
          <cell r="F46">
            <v>16015</v>
          </cell>
          <cell r="G46">
            <v>2.347321847212579E-3</v>
          </cell>
          <cell r="H46">
            <v>16704</v>
          </cell>
          <cell r="I46">
            <v>2.4851399669094331E-3</v>
          </cell>
          <cell r="J46">
            <v>19133</v>
          </cell>
          <cell r="K46">
            <v>2.8290875087498696E-3</v>
          </cell>
          <cell r="L46">
            <v>22678</v>
          </cell>
          <cell r="M46">
            <v>3.2818000900693349E-3</v>
          </cell>
          <cell r="N46">
            <v>31078</v>
          </cell>
          <cell r="O46">
            <v>4.207580278500711E-3</v>
          </cell>
          <cell r="Q46">
            <v>24296</v>
          </cell>
        </row>
        <row r="47">
          <cell r="B47" t="str">
            <v>Mount Royal University</v>
          </cell>
          <cell r="C47">
            <v>5</v>
          </cell>
          <cell r="D47">
            <v>2275</v>
          </cell>
          <cell r="E47">
            <v>3.3652268081511562E-4</v>
          </cell>
          <cell r="F47">
            <v>2376</v>
          </cell>
          <cell r="G47">
            <v>3.4825080917746411E-4</v>
          </cell>
          <cell r="H47">
            <v>2198</v>
          </cell>
          <cell r="I47">
            <v>3.270077614503672E-4</v>
          </cell>
          <cell r="J47">
            <v>3465</v>
          </cell>
          <cell r="K47">
            <v>5.1234977357540886E-4</v>
          </cell>
          <cell r="L47">
            <v>3231</v>
          </cell>
          <cell r="M47">
            <v>4.6756751437578362E-4</v>
          </cell>
          <cell r="N47">
            <v>2945</v>
          </cell>
          <cell r="O47">
            <v>3.9871690328156871E-4</v>
          </cell>
          <cell r="Q47">
            <v>3214</v>
          </cell>
        </row>
        <row r="48">
          <cell r="B48" t="str">
            <v>MacEwan University</v>
          </cell>
          <cell r="C48">
            <v>5</v>
          </cell>
          <cell r="D48">
            <v>0</v>
          </cell>
          <cell r="E48">
            <v>0</v>
          </cell>
          <cell r="F48">
            <v>92</v>
          </cell>
          <cell r="G48">
            <v>1.3484458941214942E-5</v>
          </cell>
          <cell r="H48">
            <v>487</v>
          </cell>
          <cell r="I48">
            <v>7.2453494006519034E-5</v>
          </cell>
          <cell r="J48">
            <v>861</v>
          </cell>
          <cell r="K48">
            <v>1.2731115585813189E-4</v>
          </cell>
          <cell r="L48">
            <v>410</v>
          </cell>
          <cell r="M48">
            <v>5.9332306064398415E-5</v>
          </cell>
          <cell r="N48">
            <v>1001</v>
          </cell>
          <cell r="O48">
            <v>1.3552313079281844E-4</v>
          </cell>
          <cell r="Q48">
            <v>757</v>
          </cell>
        </row>
        <row r="49">
          <cell r="B49" t="str">
            <v>École Polytechnique de Montréal</v>
          </cell>
          <cell r="C49">
            <v>4</v>
          </cell>
          <cell r="D49">
            <v>68902</v>
          </cell>
          <cell r="E49">
            <v>1.0192125605944218E-2</v>
          </cell>
          <cell r="F49">
            <v>69400</v>
          </cell>
          <cell r="G49">
            <v>1.0171972288264315E-2</v>
          </cell>
          <cell r="H49">
            <v>70357</v>
          </cell>
          <cell r="I49">
            <v>1.0467372644387391E-2</v>
          </cell>
          <cell r="J49">
            <v>69425</v>
          </cell>
          <cell r="K49">
            <v>1.0265478508072946E-2</v>
          </cell>
          <cell r="L49">
            <v>72817</v>
          </cell>
          <cell r="M49">
            <v>1.0537562269978779E-2</v>
          </cell>
          <cell r="N49">
            <v>74936</v>
          </cell>
          <cell r="O49">
            <v>1.0145415913177466E-2</v>
          </cell>
          <cell r="Q49">
            <v>72393</v>
          </cell>
        </row>
        <row r="50">
          <cell r="B50" t="str">
            <v>Université du Québec à Trois-Rivières</v>
          </cell>
          <cell r="C50">
            <v>4</v>
          </cell>
          <cell r="D50">
            <v>21049</v>
          </cell>
          <cell r="E50">
            <v>3.1136113883417004E-3</v>
          </cell>
          <cell r="F50">
            <v>24039</v>
          </cell>
          <cell r="G50">
            <v>3.5234011792159344E-3</v>
          </cell>
          <cell r="H50">
            <v>22942</v>
          </cell>
          <cell r="I50">
            <v>3.4131993008163441E-3</v>
          </cell>
          <cell r="J50">
            <v>21086</v>
          </cell>
          <cell r="K50">
            <v>3.1178664720378272E-3</v>
          </cell>
          <cell r="L50">
            <v>20237</v>
          </cell>
          <cell r="M50">
            <v>2.9285557995737334E-3</v>
          </cell>
          <cell r="N50">
            <v>19988</v>
          </cell>
          <cell r="O50">
            <v>2.7061302080787762E-3</v>
          </cell>
          <cell r="Q50">
            <v>20437</v>
          </cell>
        </row>
        <row r="51">
          <cell r="B51" t="str">
            <v>University of Lethbridge</v>
          </cell>
          <cell r="C51">
            <v>4</v>
          </cell>
          <cell r="D51">
            <v>19135</v>
          </cell>
          <cell r="E51">
            <v>2.8304885702845001E-3</v>
          </cell>
          <cell r="F51">
            <v>17228</v>
          </cell>
          <cell r="G51">
            <v>2.5251115069483804E-3</v>
          </cell>
          <cell r="H51">
            <v>18227</v>
          </cell>
          <cell r="I51">
            <v>2.7117245077142144E-3</v>
          </cell>
          <cell r="J51">
            <v>18323</v>
          </cell>
          <cell r="K51">
            <v>2.7093174318101637E-3</v>
          </cell>
          <cell r="L51">
            <v>19678</v>
          </cell>
          <cell r="M51">
            <v>2.847661265207883E-3</v>
          </cell>
          <cell r="N51">
            <v>17202</v>
          </cell>
          <cell r="O51">
            <v>2.3289399559421205E-3</v>
          </cell>
          <cell r="Q51">
            <v>18401</v>
          </cell>
        </row>
        <row r="52">
          <cell r="B52" t="str">
            <v>University of Regina</v>
          </cell>
          <cell r="C52">
            <v>4</v>
          </cell>
          <cell r="D52">
            <v>23185</v>
          </cell>
          <cell r="E52">
            <v>3.4295729031641564E-3</v>
          </cell>
          <cell r="F52">
            <v>20669</v>
          </cell>
          <cell r="G52">
            <v>3.0294595853909956E-3</v>
          </cell>
          <cell r="H52">
            <v>18284</v>
          </cell>
          <cell r="I52">
            <v>2.7202046907909526E-3</v>
          </cell>
          <cell r="J52">
            <v>15366</v>
          </cell>
          <cell r="K52">
            <v>2.2720827188339775E-3</v>
          </cell>
          <cell r="L52">
            <v>17609</v>
          </cell>
          <cell r="M52">
            <v>2.5482501889951019E-3</v>
          </cell>
          <cell r="N52">
            <v>15429</v>
          </cell>
          <cell r="O52">
            <v>2.0888974875148806E-3</v>
          </cell>
          <cell r="Q52">
            <v>16135</v>
          </cell>
        </row>
        <row r="53">
          <cell r="B53" t="str">
            <v>Wilfrid Laurier University</v>
          </cell>
          <cell r="C53">
            <v>5</v>
          </cell>
          <cell r="D53">
            <v>11819</v>
          </cell>
          <cell r="E53">
            <v>1.7482907976060886E-3</v>
          </cell>
          <cell r="F53">
            <v>12961</v>
          </cell>
          <cell r="G53">
            <v>1.8996964384465963E-3</v>
          </cell>
          <cell r="H53">
            <v>12737</v>
          </cell>
          <cell r="I53">
            <v>1.8949489797967822E-3</v>
          </cell>
          <cell r="J53">
            <v>11547</v>
          </cell>
          <cell r="K53">
            <v>1.7073889857071418E-3</v>
          </cell>
          <cell r="L53">
            <v>14216</v>
          </cell>
          <cell r="M53">
            <v>2.0572391780767996E-3</v>
          </cell>
          <cell r="N53">
            <v>17738</v>
          </cell>
          <cell r="O53">
            <v>2.4015077862167967E-3</v>
          </cell>
          <cell r="Q53">
            <v>14500</v>
          </cell>
        </row>
        <row r="54">
          <cell r="B54" t="str">
            <v>University of Windsor</v>
          </cell>
          <cell r="C54">
            <v>5</v>
          </cell>
          <cell r="D54">
            <v>28074</v>
          </cell>
          <cell r="E54">
            <v>4.1527638422872775E-3</v>
          </cell>
          <cell r="F54">
            <v>29734</v>
          </cell>
          <cell r="G54">
            <v>4.3581185017183156E-3</v>
          </cell>
          <cell r="H54">
            <v>30486</v>
          </cell>
          <cell r="I54">
            <v>4.5355589697797516E-3</v>
          </cell>
          <cell r="J54">
            <v>29695</v>
          </cell>
          <cell r="K54">
            <v>4.3908301663266279E-3</v>
          </cell>
          <cell r="L54">
            <v>30041</v>
          </cell>
          <cell r="M54">
            <v>4.3473214792209584E-3</v>
          </cell>
          <cell r="N54">
            <v>26198</v>
          </cell>
          <cell r="O54">
            <v>3.5468880924178397E-3</v>
          </cell>
          <cell r="Q54">
            <v>28645</v>
          </cell>
        </row>
        <row r="55">
          <cell r="B55" t="str">
            <v>Brock University</v>
          </cell>
          <cell r="C55">
            <v>5</v>
          </cell>
          <cell r="D55">
            <v>12641</v>
          </cell>
          <cell r="E55">
            <v>1.8698827288720337E-3</v>
          </cell>
          <cell r="F55">
            <v>14285</v>
          </cell>
          <cell r="G55">
            <v>2.0937553910353852E-3</v>
          </cell>
          <cell r="H55">
            <v>16391</v>
          </cell>
          <cell r="I55">
            <v>2.4385733475582204E-3</v>
          </cell>
          <cell r="J55">
            <v>13516</v>
          </cell>
          <cell r="K55">
            <v>1.9985337776753901E-3</v>
          </cell>
          <cell r="L55">
            <v>13487</v>
          </cell>
          <cell r="M55">
            <v>1.951743443635467E-3</v>
          </cell>
          <cell r="N55">
            <v>14228</v>
          </cell>
          <cell r="O55">
            <v>1.9262968081121086E-3</v>
          </cell>
          <cell r="Q55">
            <v>13744</v>
          </cell>
        </row>
        <row r="56">
          <cell r="B56" t="str">
            <v>University of New Brunswick</v>
          </cell>
          <cell r="C56">
            <v>5</v>
          </cell>
          <cell r="D56">
            <v>53077</v>
          </cell>
          <cell r="E56">
            <v>7.8512590459885231E-3</v>
          </cell>
          <cell r="F56">
            <v>50013</v>
          </cell>
          <cell r="G56">
            <v>7.3304157068150308E-3</v>
          </cell>
          <cell r="H56">
            <v>43390</v>
          </cell>
          <cell r="I56">
            <v>6.4553533982399606E-3</v>
          </cell>
          <cell r="J56">
            <v>41840</v>
          </cell>
          <cell r="K56">
            <v>6.1866419989596265E-3</v>
          </cell>
          <cell r="L56">
            <v>38928</v>
          </cell>
          <cell r="M56">
            <v>5.6333853914021991E-3</v>
          </cell>
          <cell r="N56">
            <v>48958</v>
          </cell>
          <cell r="O56">
            <v>6.6283131242305749E-3</v>
          </cell>
          <cell r="Q56">
            <v>43242</v>
          </cell>
        </row>
        <row r="57">
          <cell r="B57" t="str">
            <v>Carleton University</v>
          </cell>
          <cell r="C57">
            <v>5</v>
          </cell>
          <cell r="D57">
            <v>50372</v>
          </cell>
          <cell r="E57">
            <v>7.4511298804479141E-3</v>
          </cell>
          <cell r="F57">
            <v>55160</v>
          </cell>
          <cell r="G57">
            <v>8.0848125564936535E-3</v>
          </cell>
          <cell r="H57">
            <v>59144</v>
          </cell>
          <cell r="I57">
            <v>8.799156980537088E-3</v>
          </cell>
          <cell r="J57">
            <v>55335</v>
          </cell>
          <cell r="K57">
            <v>8.1820706264921356E-3</v>
          </cell>
          <cell r="L57">
            <v>58685</v>
          </cell>
          <cell r="M57">
            <v>8.4924789789981008E-3</v>
          </cell>
          <cell r="N57">
            <v>54365</v>
          </cell>
          <cell r="O57">
            <v>7.360354650900674E-3</v>
          </cell>
          <cell r="Q57">
            <v>56128</v>
          </cell>
        </row>
        <row r="58">
          <cell r="B58" t="str">
            <v>Memorial University of Newfoundland</v>
          </cell>
          <cell r="C58">
            <v>5</v>
          </cell>
          <cell r="D58">
            <v>107078</v>
          </cell>
          <cell r="E58">
            <v>1.5839198073108109E-2</v>
          </cell>
          <cell r="F58">
            <v>127816</v>
          </cell>
          <cell r="G58">
            <v>1.8734017435112271E-2</v>
          </cell>
          <cell r="H58">
            <v>87782</v>
          </cell>
          <cell r="I58">
            <v>1.3059779488460479E-2</v>
          </cell>
          <cell r="J58">
            <v>104395</v>
          </cell>
          <cell r="K58">
            <v>1.5436292817432844E-2</v>
          </cell>
          <cell r="L58">
            <v>91178</v>
          </cell>
          <cell r="M58">
            <v>1.3194636591072485E-2</v>
          </cell>
          <cell r="N58">
            <v>111778</v>
          </cell>
          <cell r="O58">
            <v>1.5133371142617043E-2</v>
          </cell>
          <cell r="Q58">
            <v>102450</v>
          </cell>
        </row>
        <row r="59">
          <cell r="B59" t="str">
            <v>Simon Fraser University</v>
          </cell>
          <cell r="C59">
            <v>5</v>
          </cell>
          <cell r="D59">
            <v>95614</v>
          </cell>
          <cell r="E59">
            <v>1.414341960591493E-2</v>
          </cell>
          <cell r="F59">
            <v>102643</v>
          </cell>
          <cell r="G59">
            <v>1.5044405642425273E-2</v>
          </cell>
          <cell r="H59">
            <v>103130</v>
          </cell>
          <cell r="I59">
            <v>1.5343180363228558E-2</v>
          </cell>
          <cell r="J59">
            <v>117404</v>
          </cell>
          <cell r="K59">
            <v>1.7359859398801532E-2</v>
          </cell>
          <cell r="L59">
            <v>109916</v>
          </cell>
          <cell r="M59">
            <v>1.5906267691157112E-2</v>
          </cell>
          <cell r="N59">
            <v>138964</v>
          </cell>
          <cell r="O59">
            <v>1.8814022325168052E-2</v>
          </cell>
          <cell r="Q59">
            <v>122095</v>
          </cell>
        </row>
        <row r="60">
          <cell r="B60" t="str">
            <v>University of Victoria</v>
          </cell>
          <cell r="C60">
            <v>5</v>
          </cell>
          <cell r="D60">
            <v>103007</v>
          </cell>
          <cell r="E60">
            <v>1.523700737702093E-2</v>
          </cell>
          <cell r="F60">
            <v>124779</v>
          </cell>
          <cell r="G60">
            <v>1.8288883719846296E-2</v>
          </cell>
          <cell r="H60">
            <v>95428</v>
          </cell>
          <cell r="I60">
            <v>1.4197314221876998E-2</v>
          </cell>
          <cell r="J60">
            <v>102845</v>
          </cell>
          <cell r="K60">
            <v>1.5207103164029704E-2</v>
          </cell>
          <cell r="L60">
            <v>99589</v>
          </cell>
          <cell r="M60">
            <v>1.4411817143042375E-2</v>
          </cell>
          <cell r="N60">
            <v>114922</v>
          </cell>
          <cell r="O60">
            <v>1.5559030206765516E-2</v>
          </cell>
          <cell r="Q60">
            <v>105785</v>
          </cell>
        </row>
        <row r="61">
          <cell r="B61" t="str">
            <v>Ryerson University</v>
          </cell>
          <cell r="C61">
            <v>5</v>
          </cell>
          <cell r="D61">
            <v>28695</v>
          </cell>
          <cell r="E61">
            <v>4.2446234399954917E-3</v>
          </cell>
          <cell r="F61">
            <v>32400</v>
          </cell>
          <cell r="G61">
            <v>4.7488746706017835E-3</v>
          </cell>
          <cell r="H61">
            <v>40782</v>
          </cell>
          <cell r="I61">
            <v>6.0673478286937558E-3</v>
          </cell>
          <cell r="J61">
            <v>44815</v>
          </cell>
          <cell r="K61">
            <v>6.6265382692011392E-3</v>
          </cell>
          <cell r="L61">
            <v>47130</v>
          </cell>
          <cell r="M61">
            <v>6.8203209385734086E-3</v>
          </cell>
          <cell r="N61">
            <v>47832</v>
          </cell>
          <cell r="O61">
            <v>6.4758665255565352E-3</v>
          </cell>
          <cell r="Q61">
            <v>46592</v>
          </cell>
        </row>
        <row r="62">
          <cell r="B62" t="str">
            <v>Concordia University</v>
          </cell>
          <cell r="C62">
            <v>5</v>
          </cell>
          <cell r="D62">
            <v>44816</v>
          </cell>
          <cell r="E62">
            <v>6.6292749289715257E-3</v>
          </cell>
          <cell r="F62">
            <v>44358</v>
          </cell>
          <cell r="G62">
            <v>6.5015611925479605E-3</v>
          </cell>
          <cell r="H62">
            <v>45670</v>
          </cell>
          <cell r="I62">
            <v>6.7945607213094946E-3</v>
          </cell>
          <cell r="J62">
            <v>45817</v>
          </cell>
          <cell r="K62">
            <v>6.7746982903043309E-3</v>
          </cell>
          <cell r="L62">
            <v>50810</v>
          </cell>
          <cell r="M62">
            <v>7.3528645637367888E-3</v>
          </cell>
          <cell r="N62">
            <v>53099</v>
          </cell>
          <cell r="O62">
            <v>7.1889537681996667E-3</v>
          </cell>
          <cell r="Q62">
            <v>49909</v>
          </cell>
        </row>
        <row r="63">
          <cell r="B63" t="str">
            <v>Université de Sherbrooke</v>
          </cell>
          <cell r="C63">
            <v>5</v>
          </cell>
          <cell r="D63">
            <v>185222</v>
          </cell>
          <cell r="E63">
            <v>2.7398419334477953E-2</v>
          </cell>
          <cell r="F63">
            <v>120969</v>
          </cell>
          <cell r="G63">
            <v>1.7730451235432938E-2</v>
          </cell>
          <cell r="H63">
            <v>121938</v>
          </cell>
          <cell r="I63">
            <v>1.8141343228268825E-2</v>
          </cell>
          <cell r="J63">
            <v>126828</v>
          </cell>
          <cell r="K63">
            <v>1.8753332491492629E-2</v>
          </cell>
          <cell r="L63">
            <v>129198</v>
          </cell>
          <cell r="M63">
            <v>1.8696622631483285E-2</v>
          </cell>
          <cell r="N63">
            <v>132455</v>
          </cell>
          <cell r="O63">
            <v>1.7932783505657111E-2</v>
          </cell>
          <cell r="Q63">
            <v>129494</v>
          </cell>
        </row>
        <row r="64">
          <cell r="B64" t="str">
            <v>Université du Québec à Montréal</v>
          </cell>
          <cell r="C64">
            <v>6</v>
          </cell>
          <cell r="D64">
            <v>71630</v>
          </cell>
          <cell r="E64">
            <v>1.0595656978807355E-2</v>
          </cell>
          <cell r="F64">
            <v>71262</v>
          </cell>
          <cell r="G64">
            <v>1.0444886011618033E-2</v>
          </cell>
          <cell r="H64">
            <v>70384</v>
          </cell>
          <cell r="I64">
            <v>1.0471389573213214E-2</v>
          </cell>
          <cell r="J64">
            <v>66775</v>
          </cell>
          <cell r="K64">
            <v>9.8736381328998341E-3</v>
          </cell>
          <cell r="L64">
            <v>63935</v>
          </cell>
          <cell r="M64">
            <v>9.252221922505641E-3</v>
          </cell>
          <cell r="N64">
            <v>67790</v>
          </cell>
          <cell r="O64">
            <v>9.1779351013438187E-3</v>
          </cell>
          <cell r="Q64">
            <v>66167</v>
          </cell>
        </row>
        <row r="65">
          <cell r="B65" t="str">
            <v>Dalhousie University</v>
          </cell>
          <cell r="C65">
            <v>5</v>
          </cell>
          <cell r="D65">
            <v>151594</v>
          </cell>
          <cell r="E65">
            <v>2.2424096384829291E-2</v>
          </cell>
          <cell r="F65">
            <v>148470</v>
          </cell>
          <cell r="G65">
            <v>2.1761278467415025E-2</v>
          </cell>
          <cell r="H65">
            <v>127812</v>
          </cell>
          <cell r="I65">
            <v>1.9015248410597967E-2</v>
          </cell>
          <cell r="J65">
            <v>141744</v>
          </cell>
          <cell r="K65">
            <v>2.0958876278693434E-2</v>
          </cell>
          <cell r="L65">
            <v>135740</v>
          </cell>
          <cell r="M65">
            <v>1.964333469556449E-2</v>
          </cell>
          <cell r="N65">
            <v>149919</v>
          </cell>
          <cell r="O65">
            <v>2.0297195050278268E-2</v>
          </cell>
          <cell r="Q65">
            <v>142468</v>
          </cell>
        </row>
        <row r="66">
          <cell r="B66" t="str">
            <v>Queen's University</v>
          </cell>
          <cell r="C66">
            <v>6</v>
          </cell>
          <cell r="D66">
            <v>168025</v>
          </cell>
          <cell r="E66">
            <v>2.4854603711630681E-2</v>
          </cell>
          <cell r="F66">
            <v>189990</v>
          </cell>
          <cell r="G66">
            <v>2.7846873415667682E-2</v>
          </cell>
          <cell r="H66">
            <v>148486</v>
          </cell>
          <cell r="I66">
            <v>2.2091025690045143E-2</v>
          </cell>
          <cell r="J66">
            <v>187338</v>
          </cell>
          <cell r="K66">
            <v>2.7700600831766217E-2</v>
          </cell>
          <cell r="L66">
            <v>151808</v>
          </cell>
          <cell r="M66">
            <v>2.1968582241522427E-2</v>
          </cell>
          <cell r="N66">
            <v>207034</v>
          </cell>
          <cell r="O66">
            <v>2.8029865994565806E-2</v>
          </cell>
          <cell r="Q66">
            <v>182060</v>
          </cell>
        </row>
        <row r="67">
          <cell r="B67" t="str">
            <v>University of Guelph</v>
          </cell>
          <cell r="C67">
            <v>6</v>
          </cell>
          <cell r="D67">
            <v>161172</v>
          </cell>
          <cell r="E67">
            <v>2.3840893851575302E-2</v>
          </cell>
          <cell r="F67">
            <v>158255</v>
          </cell>
          <cell r="G67">
            <v>2.319546793197794E-2</v>
          </cell>
          <cell r="H67">
            <v>146657</v>
          </cell>
          <cell r="I67">
            <v>2.1818915955881028E-2</v>
          </cell>
          <cell r="J67">
            <v>143581</v>
          </cell>
          <cell r="K67">
            <v>2.1230502984049288E-2</v>
          </cell>
          <cell r="L67">
            <v>148911</v>
          </cell>
          <cell r="M67">
            <v>2.1549348849647886E-2</v>
          </cell>
          <cell r="N67">
            <v>140294</v>
          </cell>
          <cell r="O67">
            <v>1.8994088023424244E-2</v>
          </cell>
          <cell r="Q67">
            <v>144262</v>
          </cell>
        </row>
        <row r="68">
          <cell r="B68" t="str">
            <v>University of Saskatchewan</v>
          </cell>
          <cell r="C68">
            <v>5</v>
          </cell>
          <cell r="D68">
            <v>166677</v>
          </cell>
          <cell r="E68">
            <v>2.4655204778119132E-2</v>
          </cell>
          <cell r="F68">
            <v>157976</v>
          </cell>
          <cell r="G68">
            <v>2.3154574844536646E-2</v>
          </cell>
          <cell r="H68">
            <v>195264</v>
          </cell>
          <cell r="I68">
            <v>2.9050429268355094E-2</v>
          </cell>
          <cell r="J68">
            <v>168947</v>
          </cell>
          <cell r="K68">
            <v>2.498122862806482E-2</v>
          </cell>
          <cell r="L68">
            <v>215928</v>
          </cell>
          <cell r="M68">
            <v>3.1247576058227856E-2</v>
          </cell>
          <cell r="N68">
            <v>186261</v>
          </cell>
          <cell r="O68">
            <v>2.5217456408192961E-2</v>
          </cell>
          <cell r="Q68">
            <v>190379</v>
          </cell>
        </row>
        <row r="69">
          <cell r="B69" t="str">
            <v>University of Waterloo</v>
          </cell>
          <cell r="C69">
            <v>6</v>
          </cell>
          <cell r="D69">
            <v>137006</v>
          </cell>
          <cell r="E69">
            <v>2.0266209410002518E-2</v>
          </cell>
          <cell r="F69">
            <v>166920</v>
          </cell>
          <cell r="G69">
            <v>2.4465498765952151E-2</v>
          </cell>
          <cell r="H69">
            <v>177425</v>
          </cell>
          <cell r="I69">
            <v>2.6396429515619383E-2</v>
          </cell>
          <cell r="J69">
            <v>180929</v>
          </cell>
          <cell r="K69">
            <v>2.675293858101736E-2</v>
          </cell>
          <cell r="L69">
            <v>166440</v>
          </cell>
          <cell r="M69">
            <v>2.4086022003313348E-2</v>
          </cell>
          <cell r="N69">
            <v>189333</v>
          </cell>
          <cell r="O69">
            <v>2.563336755484185E-2</v>
          </cell>
          <cell r="Q69">
            <v>178901</v>
          </cell>
        </row>
        <row r="70">
          <cell r="B70" t="str">
            <v>University of Manitoba</v>
          </cell>
          <cell r="C70">
            <v>6</v>
          </cell>
          <cell r="D70">
            <v>159219</v>
          </cell>
          <cell r="E70">
            <v>2.3552002073275558E-2</v>
          </cell>
          <cell r="F70">
            <v>136776</v>
          </cell>
          <cell r="G70">
            <v>2.0047286479821898E-2</v>
          </cell>
          <cell r="H70">
            <v>153617</v>
          </cell>
          <cell r="I70">
            <v>2.2854390942093294E-2</v>
          </cell>
          <cell r="J70">
            <v>162456</v>
          </cell>
          <cell r="K70">
            <v>2.4021441505329474E-2</v>
          </cell>
          <cell r="L70">
            <v>190588</v>
          </cell>
          <cell r="M70">
            <v>2.7580550117564794E-2</v>
          </cell>
          <cell r="N70">
            <v>186846</v>
          </cell>
          <cell r="O70">
            <v>2.5296658237877075E-2</v>
          </cell>
          <cell r="Q70">
            <v>179963</v>
          </cell>
        </row>
        <row r="71">
          <cell r="B71" t="str">
            <v>York University</v>
          </cell>
          <cell r="C71">
            <v>6</v>
          </cell>
          <cell r="D71">
            <v>67280</v>
          </cell>
          <cell r="E71">
            <v>9.9521960286773539E-3</v>
          </cell>
          <cell r="F71">
            <v>72040</v>
          </cell>
          <cell r="G71">
            <v>1.0558917631794829E-2</v>
          </cell>
          <cell r="H71">
            <v>78719</v>
          </cell>
          <cell r="I71">
            <v>1.1711430379259079E-2</v>
          </cell>
          <cell r="J71">
            <v>70358</v>
          </cell>
          <cell r="K71">
            <v>1.0403435892992386E-2</v>
          </cell>
          <cell r="L71">
            <v>66566</v>
          </cell>
          <cell r="M71">
            <v>9.6329616719091349E-3</v>
          </cell>
          <cell r="N71">
            <v>96030</v>
          </cell>
          <cell r="O71">
            <v>1.3001284965069285E-2</v>
          </cell>
          <cell r="Q71">
            <v>77651</v>
          </cell>
        </row>
        <row r="72">
          <cell r="B72" t="str">
            <v>Western University</v>
          </cell>
          <cell r="C72">
            <v>7</v>
          </cell>
          <cell r="D72">
            <v>241095</v>
          </cell>
          <cell r="E72">
            <v>3.5663268453239694E-2</v>
          </cell>
          <cell r="F72">
            <v>254457</v>
          </cell>
          <cell r="G72">
            <v>3.7295814878312288E-2</v>
          </cell>
          <cell r="H72">
            <v>237894</v>
          </cell>
          <cell r="I72">
            <v>3.5392713558905213E-2</v>
          </cell>
          <cell r="J72">
            <v>229821</v>
          </cell>
          <cell r="K72">
            <v>3.3982319570815017E-2</v>
          </cell>
          <cell r="L72">
            <v>234736</v>
          </cell>
          <cell r="M72">
            <v>3.3969337064225918E-2</v>
          </cell>
          <cell r="N72">
            <v>249669</v>
          </cell>
          <cell r="O72">
            <v>3.3802122419492694E-2</v>
          </cell>
          <cell r="Q72">
            <v>238075</v>
          </cell>
        </row>
        <row r="73">
          <cell r="B73" t="str">
            <v>McMaster University</v>
          </cell>
          <cell r="C73">
            <v>7</v>
          </cell>
          <cell r="D73">
            <v>325156</v>
          </cell>
          <cell r="E73">
            <v>4.8097744528843842E-2</v>
          </cell>
          <cell r="F73">
            <v>322502</v>
          </cell>
          <cell r="G73">
            <v>4.7269184537605445E-2</v>
          </cell>
          <cell r="H73">
            <v>310608</v>
          </cell>
          <cell r="I73">
            <v>4.621074921227282E-2</v>
          </cell>
          <cell r="J73">
            <v>324624</v>
          </cell>
          <cell r="K73">
            <v>4.8000298094413717E-2</v>
          </cell>
          <cell r="L73">
            <v>354619</v>
          </cell>
          <cell r="M73">
            <v>5.1317958644514397E-2</v>
          </cell>
          <cell r="N73">
            <v>379959</v>
          </cell>
          <cell r="O73">
            <v>5.1441791461447055E-2</v>
          </cell>
          <cell r="Q73">
            <v>353067</v>
          </cell>
        </row>
        <row r="74">
          <cell r="B74" t="str">
            <v>University of Ottawa</v>
          </cell>
          <cell r="C74">
            <v>7</v>
          </cell>
          <cell r="D74">
            <v>302178</v>
          </cell>
          <cell r="E74">
            <v>4.4698791491582422E-2</v>
          </cell>
          <cell r="F74">
            <v>297813</v>
          </cell>
          <cell r="G74">
            <v>4.3650512724565708E-2</v>
          </cell>
          <cell r="H74">
            <v>275266</v>
          </cell>
          <cell r="I74">
            <v>4.0952738154411639E-2</v>
          </cell>
          <cell r="J74">
            <v>294215</v>
          </cell>
          <cell r="K74">
            <v>4.3503892823229126E-2</v>
          </cell>
          <cell r="L74">
            <v>325969</v>
          </cell>
          <cell r="M74">
            <v>4.7171932867087533E-2</v>
          </cell>
          <cell r="N74">
            <v>324581</v>
          </cell>
          <cell r="O74">
            <v>4.3944289026836968E-2</v>
          </cell>
          <cell r="Q74">
            <v>314922</v>
          </cell>
        </row>
        <row r="75">
          <cell r="B75" t="str">
            <v>University of Calgary</v>
          </cell>
          <cell r="C75">
            <v>7</v>
          </cell>
          <cell r="D75">
            <v>282771</v>
          </cell>
          <cell r="E75">
            <v>4.1828068121657611E-2</v>
          </cell>
          <cell r="F75">
            <v>328736</v>
          </cell>
          <cell r="G75">
            <v>4.8182903201078639E-2</v>
          </cell>
          <cell r="H75">
            <v>324212</v>
          </cell>
          <cell r="I75">
            <v>4.823468623992104E-2</v>
          </cell>
          <cell r="J75">
            <v>358298</v>
          </cell>
          <cell r="K75">
            <v>5.2979480280670087E-2</v>
          </cell>
          <cell r="L75">
            <v>360480</v>
          </cell>
          <cell r="M75">
            <v>5.216612119535205E-2</v>
          </cell>
          <cell r="N75">
            <v>380388</v>
          </cell>
          <cell r="O75">
            <v>5.1499872803215406E-2</v>
          </cell>
          <cell r="Q75">
            <v>366389</v>
          </cell>
        </row>
        <row r="76">
          <cell r="B76" t="str">
            <v>Université Laval</v>
          </cell>
          <cell r="C76">
            <v>7</v>
          </cell>
          <cell r="D76">
            <v>302783</v>
          </cell>
          <cell r="E76">
            <v>4.4788284336370617E-2</v>
          </cell>
          <cell r="F76">
            <v>306831</v>
          </cell>
          <cell r="G76">
            <v>4.4972282841216536E-2</v>
          </cell>
          <cell r="H76">
            <v>324803</v>
          </cell>
          <cell r="I76">
            <v>4.8322612348664064E-2</v>
          </cell>
          <cell r="J76">
            <v>331792</v>
          </cell>
          <cell r="K76">
            <v>4.9060189343183853E-2</v>
          </cell>
          <cell r="L76">
            <v>376940</v>
          </cell>
          <cell r="M76">
            <v>5.4548096214425218E-2</v>
          </cell>
          <cell r="N76">
            <v>356675</v>
          </cell>
          <cell r="O76">
            <v>4.828942325227624E-2</v>
          </cell>
          <cell r="Q76">
            <v>355136</v>
          </cell>
        </row>
        <row r="77">
          <cell r="B77" t="str">
            <v>Université de Montréal</v>
          </cell>
          <cell r="C77">
            <v>8</v>
          </cell>
          <cell r="D77">
            <v>442581</v>
          </cell>
          <cell r="E77">
            <v>6.5467492130916349E-2</v>
          </cell>
          <cell r="F77">
            <v>443004</v>
          </cell>
          <cell r="G77">
            <v>6.4931187486891126E-2</v>
          </cell>
          <cell r="H77">
            <v>462454</v>
          </cell>
          <cell r="I77">
            <v>6.8801659378420435E-2</v>
          </cell>
          <cell r="J77">
            <v>445605</v>
          </cell>
          <cell r="K77">
            <v>6.5889068067552695E-2</v>
          </cell>
          <cell r="L77">
            <v>432554</v>
          </cell>
          <cell r="M77">
            <v>6.2596161749706808E-2</v>
          </cell>
          <cell r="N77">
            <v>446096</v>
          </cell>
          <cell r="O77">
            <v>6.0395930623529603E-2</v>
          </cell>
          <cell r="Q77">
            <v>441418</v>
          </cell>
        </row>
        <row r="78">
          <cell r="B78" t="str">
            <v>McGill University</v>
          </cell>
          <cell r="C78">
            <v>8</v>
          </cell>
          <cell r="D78">
            <v>483527</v>
          </cell>
          <cell r="E78">
            <v>7.1524308697358416E-2</v>
          </cell>
          <cell r="F78">
            <v>465209</v>
          </cell>
          <cell r="G78">
            <v>6.8185778908518055E-2</v>
          </cell>
          <cell r="H78">
            <v>477843</v>
          </cell>
          <cell r="I78">
            <v>7.1091160033998096E-2</v>
          </cell>
          <cell r="J78">
            <v>473107</v>
          </cell>
          <cell r="K78">
            <v>6.9955631840387E-2</v>
          </cell>
          <cell r="L78">
            <v>547458</v>
          </cell>
          <cell r="M78">
            <v>7.92242575936669E-2</v>
          </cell>
          <cell r="N78">
            <v>515302</v>
          </cell>
          <cell r="O78">
            <v>6.9765574769031891E-2</v>
          </cell>
          <cell r="Q78">
            <v>511956</v>
          </cell>
        </row>
        <row r="79">
          <cell r="B79" t="str">
            <v>University of Alberta</v>
          </cell>
          <cell r="C79">
            <v>8</v>
          </cell>
          <cell r="D79">
            <v>452436</v>
          </cell>
          <cell r="E79">
            <v>6.6925264007590177E-2</v>
          </cell>
          <cell r="F79">
            <v>417757</v>
          </cell>
          <cell r="G79">
            <v>6.1230729498968808E-2</v>
          </cell>
          <cell r="H79">
            <v>462891</v>
          </cell>
          <cell r="I79">
            <v>6.88666741153421E-2</v>
          </cell>
          <cell r="J79">
            <v>470690</v>
          </cell>
          <cell r="K79">
            <v>6.9598243845370625E-2</v>
          </cell>
          <cell r="L79">
            <v>433663</v>
          </cell>
          <cell r="M79">
            <v>6.2756648401963933E-2</v>
          </cell>
          <cell r="N79">
            <v>513313</v>
          </cell>
          <cell r="O79">
            <v>6.9496288548105911E-2</v>
          </cell>
          <cell r="Q79">
            <v>472555</v>
          </cell>
        </row>
        <row r="80">
          <cell r="B80" t="str">
            <v>University of British Columbia</v>
          </cell>
          <cell r="C80">
            <v>8</v>
          </cell>
          <cell r="D80">
            <v>585154</v>
          </cell>
          <cell r="E80">
            <v>8.6557183635027762E-2</v>
          </cell>
          <cell r="F80">
            <v>566789</v>
          </cell>
          <cell r="G80">
            <v>8.307438042208995E-2</v>
          </cell>
          <cell r="H80">
            <v>547027</v>
          </cell>
          <cell r="I80">
            <v>8.1384019437174715E-2</v>
          </cell>
          <cell r="J80">
            <v>541553</v>
          </cell>
          <cell r="K80">
            <v>8.0076351206084681E-2</v>
          </cell>
          <cell r="L80">
            <v>532143</v>
          </cell>
          <cell r="M80">
            <v>7.7007978892749185E-2</v>
          </cell>
          <cell r="N80">
            <v>577190</v>
          </cell>
          <cell r="O80">
            <v>7.8144451410895974E-2</v>
          </cell>
          <cell r="Q80">
            <v>550295</v>
          </cell>
        </row>
        <row r="81">
          <cell r="B81" t="str">
            <v>University of Toronto</v>
          </cell>
          <cell r="C81">
            <v>8</v>
          </cell>
          <cell r="D81">
            <v>1038390</v>
          </cell>
          <cell r="E81">
            <v>0.15360078528861887</v>
          </cell>
          <cell r="F81">
            <v>1110663</v>
          </cell>
          <cell r="G81">
            <v>0.16279010457637619</v>
          </cell>
          <cell r="H81">
            <v>1041374</v>
          </cell>
          <cell r="I81">
            <v>0.15493056440974282</v>
          </cell>
          <cell r="J81">
            <v>998519</v>
          </cell>
          <cell r="K81">
            <v>0.14764530550093613</v>
          </cell>
          <cell r="L81">
            <v>1008256</v>
          </cell>
          <cell r="M81">
            <v>0.14590769166650266</v>
          </cell>
          <cell r="N81">
            <v>1147584</v>
          </cell>
          <cell r="O81">
            <v>0.15536880772002573</v>
          </cell>
          <cell r="Q81">
            <v>1051453</v>
          </cell>
        </row>
      </sheetData>
      <sheetData sheetId="2">
        <row r="3">
          <cell r="A3" t="str">
            <v>Memorial University of Newfoundland</v>
          </cell>
          <cell r="AS3">
            <v>15877.619047619048</v>
          </cell>
        </row>
        <row r="4">
          <cell r="A4" t="str">
            <v>University of Prince Edward Island</v>
          </cell>
          <cell r="AS4">
            <v>4251.4285714285716</v>
          </cell>
        </row>
        <row r="5">
          <cell r="A5" t="str">
            <v>Acadia University</v>
          </cell>
          <cell r="AS5">
            <v>3998.0952380952381</v>
          </cell>
        </row>
        <row r="6">
          <cell r="A6" t="str">
            <v>Université Sainte-Anne</v>
          </cell>
          <cell r="AS6">
            <v>423.80952380952385</v>
          </cell>
        </row>
        <row r="7">
          <cell r="A7" t="str">
            <v>Dalhousie University</v>
          </cell>
          <cell r="AS7">
            <v>17362.857142857145</v>
          </cell>
        </row>
        <row r="8">
          <cell r="A8" t="str">
            <v>Mount Saint Vincent University</v>
          </cell>
          <cell r="AS8">
            <v>2731.4285714285711</v>
          </cell>
        </row>
        <row r="9">
          <cell r="A9" t="str">
            <v>NSCAD University</v>
          </cell>
          <cell r="AS9">
            <v>735.2380952380953</v>
          </cell>
        </row>
        <row r="10">
          <cell r="A10" t="str">
            <v>St. Francis Xavier University</v>
          </cell>
          <cell r="AS10">
            <v>4288.5714285714284</v>
          </cell>
        </row>
        <row r="11">
          <cell r="A11" t="str">
            <v>Saint Mary's University</v>
          </cell>
          <cell r="AS11">
            <v>6499.5238095238092</v>
          </cell>
        </row>
        <row r="12">
          <cell r="A12" t="str">
            <v>Dalhousie University</v>
          </cell>
          <cell r="AS12">
            <v>894.28571428571422</v>
          </cell>
        </row>
        <row r="13">
          <cell r="A13" t="str">
            <v>Cape Breton University</v>
          </cell>
          <cell r="AS13">
            <v>3032.3809523809523</v>
          </cell>
        </row>
        <row r="14">
          <cell r="A14" t="str">
            <v>Mount Allison University</v>
          </cell>
          <cell r="AS14">
            <v>2202.8571428571427</v>
          </cell>
        </row>
        <row r="15">
          <cell r="A15" t="str">
            <v>University of New Brunswick</v>
          </cell>
          <cell r="AS15">
            <v>8659.5238095238092</v>
          </cell>
        </row>
        <row r="16">
          <cell r="A16" t="str">
            <v>Université de Moncton</v>
          </cell>
          <cell r="AS16">
            <v>4423.333333333333</v>
          </cell>
        </row>
        <row r="17">
          <cell r="A17" t="str">
            <v>University of New Brunswick</v>
          </cell>
          <cell r="AS17">
            <v>1964.2857142857144</v>
          </cell>
        </row>
        <row r="18">
          <cell r="A18" t="str">
            <v>Bishop's University</v>
          </cell>
          <cell r="AS18">
            <v>2605.2380952380954</v>
          </cell>
        </row>
        <row r="19">
          <cell r="A19" t="str">
            <v>McGill University</v>
          </cell>
          <cell r="AS19">
            <v>33319.523809523809</v>
          </cell>
        </row>
        <row r="20">
          <cell r="A20" t="str">
            <v>Université de Montréal</v>
          </cell>
          <cell r="AS20">
            <v>39781.904761904763</v>
          </cell>
        </row>
        <row r="21">
          <cell r="A21" t="str">
            <v>École Polytechnique de Montréal</v>
          </cell>
          <cell r="AS21">
            <v>7144.2857142857147</v>
          </cell>
        </row>
        <row r="22">
          <cell r="A22" t="str">
            <v>HEC Montréal</v>
          </cell>
          <cell r="AS22">
            <v>8807.1428571428569</v>
          </cell>
        </row>
        <row r="23">
          <cell r="A23" t="str">
            <v>Télé-université du Québec</v>
          </cell>
          <cell r="AS23">
            <v>1352.3333333333333</v>
          </cell>
        </row>
        <row r="24">
          <cell r="A24" t="str">
            <v>Université du Québec à Chicoutimi</v>
          </cell>
          <cell r="AS24">
            <v>5163.333333333333</v>
          </cell>
        </row>
        <row r="25">
          <cell r="A25" t="str">
            <v>Université du Québec à Montréal</v>
          </cell>
          <cell r="AS25">
            <v>29352.857142857141</v>
          </cell>
        </row>
        <row r="26">
          <cell r="A26" t="str">
            <v>Université du Québec en Abitibi-Témiscamingue</v>
          </cell>
          <cell r="AS26">
            <v>2177.6190476190473</v>
          </cell>
        </row>
        <row r="27">
          <cell r="A27" t="str">
            <v>Université du Québec à Trois-Rivières</v>
          </cell>
          <cell r="AS27">
            <v>10320</v>
          </cell>
        </row>
        <row r="28">
          <cell r="A28" t="str">
            <v>Université du Québec en Outaouais</v>
          </cell>
          <cell r="AS28">
            <v>5264.7619047619046</v>
          </cell>
        </row>
        <row r="29">
          <cell r="A29" t="str">
            <v>École nationale d'administration publique</v>
          </cell>
          <cell r="AS29">
            <v>700.47619047619048</v>
          </cell>
        </row>
        <row r="30">
          <cell r="A30" t="str">
            <v>Institut national de la recherche scientifique</v>
          </cell>
          <cell r="AS30">
            <v>578.09523809523807</v>
          </cell>
        </row>
        <row r="31">
          <cell r="A31" t="str">
            <v>Université du Québec à Rimouski</v>
          </cell>
          <cell r="AS31">
            <v>4377.1428571428578</v>
          </cell>
        </row>
        <row r="32">
          <cell r="A32" t="str">
            <v>École de technologie supérieure</v>
          </cell>
          <cell r="AS32">
            <v>6930</v>
          </cell>
        </row>
        <row r="33">
          <cell r="A33" t="str">
            <v>Université Laval</v>
          </cell>
          <cell r="AS33">
            <v>35509.523809523809</v>
          </cell>
        </row>
        <row r="34">
          <cell r="A34" t="str">
            <v>Université de Sherbrooke</v>
          </cell>
          <cell r="AS34">
            <v>19049.047619047622</v>
          </cell>
        </row>
        <row r="35">
          <cell r="A35" t="str">
            <v>Concordia University</v>
          </cell>
          <cell r="AS35">
            <v>30710</v>
          </cell>
        </row>
        <row r="36">
          <cell r="A36" t="str">
            <v>Algoma University</v>
          </cell>
          <cell r="AS36">
            <v>1086.6666666666667</v>
          </cell>
        </row>
        <row r="37">
          <cell r="A37" t="str">
            <v>Brock University</v>
          </cell>
          <cell r="AS37">
            <v>16971.428571428569</v>
          </cell>
        </row>
        <row r="38">
          <cell r="A38" t="str">
            <v>Carleton University</v>
          </cell>
          <cell r="AS38">
            <v>26863.809523809523</v>
          </cell>
        </row>
        <row r="39">
          <cell r="A39" t="str">
            <v>University of Guelph</v>
          </cell>
          <cell r="AS39">
            <v>27633.333333333332</v>
          </cell>
        </row>
        <row r="40">
          <cell r="A40" t="str">
            <v>Lakehead University</v>
          </cell>
          <cell r="AS40">
            <v>7496.666666666667</v>
          </cell>
        </row>
        <row r="41">
          <cell r="A41" t="str">
            <v>Laurentian University</v>
          </cell>
          <cell r="AS41">
            <v>7466.666666666667</v>
          </cell>
        </row>
        <row r="42">
          <cell r="A42" t="str">
            <v>McMaster University</v>
          </cell>
          <cell r="AS42">
            <v>31351.428571428569</v>
          </cell>
        </row>
        <row r="43">
          <cell r="A43" t="str">
            <v>OCAD University</v>
          </cell>
          <cell r="AS43">
            <v>3705.238095238095</v>
          </cell>
        </row>
        <row r="44">
          <cell r="A44" t="str">
            <v>University of Ottawa</v>
          </cell>
          <cell r="AS44">
            <v>38528.571428571428</v>
          </cell>
        </row>
        <row r="45">
          <cell r="A45" t="str">
            <v>University of Ottawa</v>
          </cell>
          <cell r="AS45">
            <v>0</v>
          </cell>
        </row>
        <row r="46">
          <cell r="A46" t="str">
            <v>Queen's University</v>
          </cell>
          <cell r="AS46">
            <v>25756.190476190473</v>
          </cell>
        </row>
        <row r="47">
          <cell r="A47" t="str">
            <v>University of Toronto</v>
          </cell>
          <cell r="AS47">
            <v>84541.904761904749</v>
          </cell>
        </row>
        <row r="48">
          <cell r="A48" t="str">
            <v>University of Toronto</v>
          </cell>
        </row>
        <row r="49">
          <cell r="A49" t="str">
            <v>University of Toronto</v>
          </cell>
        </row>
        <row r="50">
          <cell r="A50" t="str">
            <v>Trent University</v>
          </cell>
          <cell r="AS50">
            <v>8715.2380952380954</v>
          </cell>
        </row>
        <row r="51">
          <cell r="A51" t="str">
            <v>University of Waterloo</v>
          </cell>
          <cell r="AS51">
            <v>37119.047619047626</v>
          </cell>
        </row>
        <row r="52">
          <cell r="A52" t="str">
            <v>University of Waterloo</v>
          </cell>
          <cell r="AS52">
            <v>180.95238095238096</v>
          </cell>
        </row>
        <row r="53">
          <cell r="A53" t="str">
            <v>Western University</v>
          </cell>
          <cell r="AS53">
            <v>32514.285714285721</v>
          </cell>
        </row>
        <row r="54">
          <cell r="A54" t="str">
            <v>Western University</v>
          </cell>
          <cell r="AS54">
            <v>436.66666666666669</v>
          </cell>
        </row>
        <row r="55">
          <cell r="A55" t="str">
            <v>Western University</v>
          </cell>
          <cell r="AS55">
            <v>438.09523809523807</v>
          </cell>
        </row>
        <row r="56">
          <cell r="A56" t="str">
            <v>Western University</v>
          </cell>
          <cell r="AS56">
            <v>3274.8571428571427</v>
          </cell>
        </row>
        <row r="57">
          <cell r="A57" t="str">
            <v>University of Windsor</v>
          </cell>
          <cell r="AS57">
            <v>14633.333333333334</v>
          </cell>
        </row>
        <row r="58">
          <cell r="A58" t="str">
            <v>York University</v>
          </cell>
          <cell r="AS58">
            <v>48478.571428571428</v>
          </cell>
        </row>
        <row r="59">
          <cell r="A59" t="str">
            <v>Wilfrid Laurier University</v>
          </cell>
          <cell r="AS59">
            <v>17244.285714285714</v>
          </cell>
        </row>
        <row r="60">
          <cell r="A60" t="str">
            <v>Ryerson University</v>
          </cell>
          <cell r="AS60">
            <v>33254.285714285717</v>
          </cell>
        </row>
        <row r="61">
          <cell r="A61" t="str">
            <v>Nipissing University</v>
          </cell>
          <cell r="AS61">
            <v>3885.7142857142858</v>
          </cell>
        </row>
        <row r="62">
          <cell r="A62" t="e">
            <v>#N/A</v>
          </cell>
          <cell r="AS62">
            <v>424.28571428571428</v>
          </cell>
        </row>
        <row r="63">
          <cell r="A63" t="str">
            <v>Royal Military College of Canada</v>
          </cell>
          <cell r="AS63">
            <v>1212.8571428571429</v>
          </cell>
        </row>
        <row r="64">
          <cell r="A64" t="str">
            <v>University of Ontario Institute of Technology</v>
          </cell>
          <cell r="AS64">
            <v>9488.5714285714294</v>
          </cell>
        </row>
        <row r="65">
          <cell r="A65" t="str">
            <v>Brandon University</v>
          </cell>
          <cell r="AS65">
            <v>2899.0476190476188</v>
          </cell>
        </row>
        <row r="66">
          <cell r="A66" t="str">
            <v>University of Manitoba</v>
          </cell>
          <cell r="AS66">
            <v>25883.809523809523</v>
          </cell>
        </row>
        <row r="67">
          <cell r="A67" t="str">
            <v>University of Manitoba</v>
          </cell>
          <cell r="AS67">
            <v>785.23809523809507</v>
          </cell>
        </row>
        <row r="68">
          <cell r="A68" t="str">
            <v>University of Winnipeg</v>
          </cell>
          <cell r="AS68">
            <v>7891.9047619047624</v>
          </cell>
        </row>
        <row r="69">
          <cell r="A69" t="str">
            <v>University of Saskatchewan</v>
          </cell>
          <cell r="AS69">
            <v>19874.761904761905</v>
          </cell>
        </row>
        <row r="70">
          <cell r="A70" t="str">
            <v>University of Regina</v>
          </cell>
          <cell r="AS70">
            <v>11218.571428571428</v>
          </cell>
        </row>
        <row r="71">
          <cell r="A71" t="str">
            <v>University of Regina</v>
          </cell>
        </row>
        <row r="72">
          <cell r="A72" t="str">
            <v>University of Regina</v>
          </cell>
        </row>
        <row r="73">
          <cell r="A73" t="str">
            <v>University of Alberta</v>
          </cell>
          <cell r="AS73">
            <v>34174.285714285717</v>
          </cell>
        </row>
        <row r="74">
          <cell r="A74" t="str">
            <v>University of Calgary</v>
          </cell>
          <cell r="AS74">
            <v>31428.571428571431</v>
          </cell>
        </row>
        <row r="75">
          <cell r="A75" t="str">
            <v>University of Lethbridge</v>
          </cell>
          <cell r="AS75">
            <v>8100.4761904761908</v>
          </cell>
        </row>
        <row r="76">
          <cell r="A76" t="str">
            <v>The King's University</v>
          </cell>
          <cell r="AS76">
            <v>777.61904761904771</v>
          </cell>
        </row>
        <row r="77">
          <cell r="A77" t="str">
            <v>Concordia University of Edmonton</v>
          </cell>
          <cell r="AS77">
            <v>2015.2380952380954</v>
          </cell>
        </row>
        <row r="78">
          <cell r="A78" t="str">
            <v>Athabasca University</v>
          </cell>
          <cell r="AS78">
            <v>12186.666666666666</v>
          </cell>
        </row>
        <row r="79">
          <cell r="A79" t="str">
            <v>Mount Royal University</v>
          </cell>
          <cell r="AS79">
            <v>9610</v>
          </cell>
        </row>
        <row r="80">
          <cell r="A80" t="str">
            <v>MacEwan University</v>
          </cell>
          <cell r="AS80">
            <v>13012.857142857143</v>
          </cell>
        </row>
        <row r="81">
          <cell r="A81" t="str">
            <v>University of British Columbia</v>
          </cell>
          <cell r="AS81">
            <v>49381.428571428572</v>
          </cell>
        </row>
        <row r="82">
          <cell r="A82" t="str">
            <v>Simon Fraser University</v>
          </cell>
          <cell r="AS82">
            <v>20610.476190476187</v>
          </cell>
        </row>
        <row r="83">
          <cell r="A83" t="str">
            <v>University of Victoria</v>
          </cell>
          <cell r="AS83">
            <v>18579.047619047618</v>
          </cell>
        </row>
        <row r="84">
          <cell r="A84" t="str">
            <v>Trinity Western University</v>
          </cell>
          <cell r="AS84">
            <v>3097.6190476190477</v>
          </cell>
        </row>
        <row r="85">
          <cell r="A85" t="str">
            <v>University of Northern British Columbia</v>
          </cell>
          <cell r="AS85">
            <v>2660.4761904761904</v>
          </cell>
        </row>
        <row r="86">
          <cell r="A86" t="str">
            <v>University of the Fraser Valley</v>
          </cell>
          <cell r="AS86">
            <v>6946.1904761904761</v>
          </cell>
        </row>
        <row r="87">
          <cell r="A87" t="str">
            <v>Vancouver Island University</v>
          </cell>
          <cell r="AS87">
            <v>6545.7142857142862</v>
          </cell>
        </row>
        <row r="88">
          <cell r="A88" t="str">
            <v>Royal Roads University</v>
          </cell>
          <cell r="AS88">
            <v>4280</v>
          </cell>
        </row>
        <row r="89">
          <cell r="A89" t="str">
            <v>Thompson Rivers University</v>
          </cell>
          <cell r="AS89">
            <v>7716.5714285714284</v>
          </cell>
        </row>
        <row r="90">
          <cell r="A90" t="str">
            <v>Kwantlen Polytechnic University</v>
          </cell>
          <cell r="AS90">
            <v>11285.714285714284</v>
          </cell>
        </row>
      </sheetData>
      <sheetData sheetId="3">
        <row r="7">
          <cell r="B7" t="str">
            <v>Université Sainte-Anne</v>
          </cell>
          <cell r="C7">
            <v>1</v>
          </cell>
          <cell r="E7">
            <v>0</v>
          </cell>
          <cell r="F7">
            <v>45</v>
          </cell>
          <cell r="G7">
            <v>1.0597211755840241E-3</v>
          </cell>
          <cell r="H7">
            <v>39</v>
          </cell>
          <cell r="I7">
            <v>9.0979074812793054E-4</v>
          </cell>
          <cell r="J7">
            <v>40</v>
          </cell>
          <cell r="K7">
            <v>9.0871916034349586E-4</v>
          </cell>
          <cell r="L7">
            <v>41</v>
          </cell>
          <cell r="M7">
            <v>9.1928251121076231E-4</v>
          </cell>
          <cell r="N7">
            <v>42</v>
          </cell>
          <cell r="O7">
            <v>40</v>
          </cell>
        </row>
        <row r="8">
          <cell r="B8" t="str">
            <v>Algoma University</v>
          </cell>
          <cell r="C8">
            <v>2</v>
          </cell>
          <cell r="E8">
            <v>0</v>
          </cell>
          <cell r="G8">
            <v>0</v>
          </cell>
          <cell r="H8">
            <v>42</v>
          </cell>
          <cell r="I8">
            <v>9.7977465183007916E-4</v>
          </cell>
          <cell r="J8">
            <v>43</v>
          </cell>
          <cell r="K8">
            <v>9.7687309736925812E-4</v>
          </cell>
          <cell r="L8">
            <v>44</v>
          </cell>
          <cell r="M8">
            <v>9.865470852017937E-4</v>
          </cell>
          <cell r="N8">
            <v>42</v>
          </cell>
          <cell r="O8">
            <v>43</v>
          </cell>
        </row>
        <row r="9">
          <cell r="B9" t="str">
            <v>École nationale d'administration publique</v>
          </cell>
          <cell r="C9">
            <v>3</v>
          </cell>
          <cell r="E9">
            <v>0</v>
          </cell>
          <cell r="G9">
            <v>0</v>
          </cell>
          <cell r="H9">
            <v>42</v>
          </cell>
          <cell r="I9">
            <v>9.7977465183007916E-4</v>
          </cell>
          <cell r="J9">
            <v>43</v>
          </cell>
          <cell r="K9">
            <v>9.7687309736925812E-4</v>
          </cell>
          <cell r="L9">
            <v>44</v>
          </cell>
          <cell r="M9">
            <v>9.865470852017937E-4</v>
          </cell>
          <cell r="N9">
            <v>42</v>
          </cell>
          <cell r="O9">
            <v>43</v>
          </cell>
        </row>
        <row r="10">
          <cell r="B10" t="str">
            <v>NSCAD University</v>
          </cell>
          <cell r="C10">
            <v>2</v>
          </cell>
          <cell r="E10">
            <v>0</v>
          </cell>
          <cell r="F10">
            <v>42</v>
          </cell>
          <cell r="G10">
            <v>9.8907309721175582E-4</v>
          </cell>
          <cell r="H10">
            <v>45</v>
          </cell>
          <cell r="I10">
            <v>1.0497585555322277E-3</v>
          </cell>
          <cell r="J10">
            <v>46</v>
          </cell>
          <cell r="K10">
            <v>1.0450270343950203E-3</v>
          </cell>
          <cell r="L10">
            <v>47</v>
          </cell>
          <cell r="M10">
            <v>1.0538116591928251E-3</v>
          </cell>
          <cell r="N10">
            <v>43.5</v>
          </cell>
          <cell r="O10">
            <v>46</v>
          </cell>
        </row>
        <row r="11">
          <cell r="B11" t="str">
            <v>The King's University</v>
          </cell>
          <cell r="C11">
            <v>2</v>
          </cell>
          <cell r="E11">
            <v>0</v>
          </cell>
          <cell r="F11">
            <v>39</v>
          </cell>
          <cell r="G11">
            <v>9.1842501883948754E-4</v>
          </cell>
          <cell r="H11">
            <v>45</v>
          </cell>
          <cell r="I11">
            <v>1.0497585555322277E-3</v>
          </cell>
          <cell r="J11">
            <v>46</v>
          </cell>
          <cell r="K11">
            <v>1.0450270343950203E-3</v>
          </cell>
          <cell r="L11">
            <v>47</v>
          </cell>
          <cell r="M11">
            <v>1.0538116591928251E-3</v>
          </cell>
          <cell r="N11">
            <v>42</v>
          </cell>
          <cell r="O11">
            <v>46</v>
          </cell>
        </row>
        <row r="12">
          <cell r="B12" t="str">
            <v>Royal Roads University</v>
          </cell>
          <cell r="C12">
            <v>4</v>
          </cell>
          <cell r="E12">
            <v>0</v>
          </cell>
          <cell r="G12">
            <v>0</v>
          </cell>
          <cell r="H12">
            <v>51</v>
          </cell>
          <cell r="I12">
            <v>1.1897263629365247E-3</v>
          </cell>
          <cell r="J12">
            <v>52</v>
          </cell>
          <cell r="K12">
            <v>1.1813349084465446E-3</v>
          </cell>
          <cell r="L12">
            <v>53</v>
          </cell>
          <cell r="M12">
            <v>1.1883408071748879E-3</v>
          </cell>
          <cell r="N12">
            <v>51</v>
          </cell>
          <cell r="O12">
            <v>52</v>
          </cell>
        </row>
        <row r="13">
          <cell r="B13" t="str">
            <v>Concordia University of Edmonton</v>
          </cell>
          <cell r="C13">
            <v>2</v>
          </cell>
          <cell r="E13">
            <v>0</v>
          </cell>
          <cell r="F13">
            <v>54</v>
          </cell>
          <cell r="G13">
            <v>1.271665410700829E-3</v>
          </cell>
          <cell r="H13">
            <v>57</v>
          </cell>
          <cell r="I13">
            <v>1.3296941703408217E-3</v>
          </cell>
          <cell r="J13">
            <v>59</v>
          </cell>
          <cell r="K13">
            <v>1.3403607615066564E-3</v>
          </cell>
          <cell r="L13">
            <v>61</v>
          </cell>
          <cell r="M13">
            <v>1.3677130044843049E-3</v>
          </cell>
          <cell r="N13">
            <v>55.5</v>
          </cell>
          <cell r="O13">
            <v>59</v>
          </cell>
        </row>
        <row r="14">
          <cell r="B14" t="str">
            <v>Télé-université du Québec</v>
          </cell>
          <cell r="C14">
            <v>4</v>
          </cell>
          <cell r="E14">
            <v>0</v>
          </cell>
          <cell r="G14">
            <v>0</v>
          </cell>
          <cell r="H14">
            <v>69</v>
          </cell>
          <cell r="I14">
            <v>1.6096297851494155E-3</v>
          </cell>
          <cell r="J14">
            <v>71</v>
          </cell>
          <cell r="K14">
            <v>1.612976509609705E-3</v>
          </cell>
          <cell r="L14">
            <v>73</v>
          </cell>
          <cell r="M14">
            <v>1.6367713004484304E-3</v>
          </cell>
          <cell r="N14">
            <v>69</v>
          </cell>
          <cell r="O14">
            <v>71</v>
          </cell>
        </row>
        <row r="15">
          <cell r="B15" t="str">
            <v>Trinity Western University</v>
          </cell>
          <cell r="C15">
            <v>4</v>
          </cell>
          <cell r="D15">
            <v>118</v>
          </cell>
          <cell r="E15">
            <v>2.9825847382655511E-3</v>
          </cell>
          <cell r="F15">
            <v>107</v>
          </cell>
          <cell r="G15">
            <v>2.5197814619442351E-3</v>
          </cell>
          <cell r="H15">
            <v>100</v>
          </cell>
          <cell r="I15">
            <v>2.3327967900716169E-3</v>
          </cell>
          <cell r="J15">
            <v>103</v>
          </cell>
          <cell r="K15">
            <v>2.3399518378845016E-3</v>
          </cell>
          <cell r="L15">
            <v>106</v>
          </cell>
          <cell r="M15">
            <v>2.3766816143497758E-3</v>
          </cell>
          <cell r="N15">
            <v>108.33333333333333</v>
          </cell>
          <cell r="O15">
            <v>103</v>
          </cell>
        </row>
        <row r="16">
          <cell r="B16" t="str">
            <v>Université du Québec en Abitibi-Témiscamingue</v>
          </cell>
          <cell r="C16">
            <v>5</v>
          </cell>
          <cell r="D16">
            <v>104</v>
          </cell>
          <cell r="E16">
            <v>2.6287187523696383E-3</v>
          </cell>
          <cell r="F16">
            <v>107</v>
          </cell>
          <cell r="G16">
            <v>2.5197814619442351E-3</v>
          </cell>
          <cell r="H16">
            <v>99</v>
          </cell>
          <cell r="I16">
            <v>2.3094688221709007E-3</v>
          </cell>
          <cell r="J16">
            <v>114</v>
          </cell>
          <cell r="K16">
            <v>2.5898496069789632E-3</v>
          </cell>
          <cell r="L16">
            <v>114</v>
          </cell>
          <cell r="M16">
            <v>2.556053811659193E-3</v>
          </cell>
          <cell r="N16">
            <v>103.33333333333333</v>
          </cell>
          <cell r="O16">
            <v>109</v>
          </cell>
        </row>
        <row r="17">
          <cell r="B17" t="str">
            <v>Bishop's University</v>
          </cell>
          <cell r="C17">
            <v>4</v>
          </cell>
          <cell r="D17">
            <v>114</v>
          </cell>
          <cell r="E17">
            <v>2.8814801708667188E-3</v>
          </cell>
          <cell r="F17">
            <v>110</v>
          </cell>
          <cell r="G17">
            <v>2.5904295403165033E-3</v>
          </cell>
          <cell r="H17">
            <v>112</v>
          </cell>
          <cell r="I17">
            <v>2.6127324048802109E-3</v>
          </cell>
          <cell r="J17">
            <v>115</v>
          </cell>
          <cell r="K17">
            <v>2.6125675859875507E-3</v>
          </cell>
          <cell r="L17">
            <v>114</v>
          </cell>
          <cell r="M17">
            <v>2.556053811659193E-3</v>
          </cell>
          <cell r="N17">
            <v>112</v>
          </cell>
          <cell r="O17">
            <v>113.66666666666667</v>
          </cell>
        </row>
        <row r="18">
          <cell r="B18" t="str">
            <v>Mount Saint Vincent University</v>
          </cell>
          <cell r="C18">
            <v>5</v>
          </cell>
          <cell r="D18">
            <v>138</v>
          </cell>
          <cell r="E18">
            <v>3.4881075752597125E-3</v>
          </cell>
          <cell r="F18">
            <v>122</v>
          </cell>
          <cell r="G18">
            <v>2.8730218538055765E-3</v>
          </cell>
          <cell r="H18">
            <v>112</v>
          </cell>
          <cell r="I18">
            <v>2.6127324048802109E-3</v>
          </cell>
          <cell r="J18">
            <v>126</v>
          </cell>
          <cell r="K18">
            <v>2.8624653550820118E-3</v>
          </cell>
          <cell r="L18">
            <v>126</v>
          </cell>
          <cell r="M18">
            <v>2.8251121076233185E-3</v>
          </cell>
          <cell r="N18">
            <v>124</v>
          </cell>
          <cell r="O18">
            <v>121.33333333333333</v>
          </cell>
        </row>
        <row r="19">
          <cell r="B19" t="str">
            <v>Mount Allison University</v>
          </cell>
          <cell r="C19">
            <v>5</v>
          </cell>
          <cell r="D19">
            <v>135</v>
          </cell>
          <cell r="E19">
            <v>3.4122791497105884E-3</v>
          </cell>
          <cell r="F19">
            <v>137</v>
          </cell>
          <cell r="G19">
            <v>3.2262622456669179E-3</v>
          </cell>
          <cell r="H19">
            <v>143</v>
          </cell>
          <cell r="I19">
            <v>3.3358994098024123E-3</v>
          </cell>
          <cell r="J19">
            <v>132</v>
          </cell>
          <cell r="K19">
            <v>2.9987732291335361E-3</v>
          </cell>
          <cell r="L19">
            <v>138</v>
          </cell>
          <cell r="M19">
            <v>3.0941704035874441E-3</v>
          </cell>
          <cell r="N19">
            <v>138.33333333333334</v>
          </cell>
          <cell r="O19">
            <v>137.66666666666666</v>
          </cell>
        </row>
        <row r="20">
          <cell r="B20" t="str">
            <v>Cape Breton University</v>
          </cell>
          <cell r="C20">
            <v>5</v>
          </cell>
          <cell r="D20">
            <v>121</v>
          </cell>
          <cell r="E20">
            <v>3.0584131638146752E-3</v>
          </cell>
          <cell r="F20">
            <v>125</v>
          </cell>
          <cell r="G20">
            <v>2.9436699321778448E-3</v>
          </cell>
          <cell r="H20">
            <v>123</v>
          </cell>
          <cell r="I20">
            <v>2.8693400517880887E-3</v>
          </cell>
          <cell r="J20">
            <v>150</v>
          </cell>
          <cell r="K20">
            <v>3.4076968512881094E-3</v>
          </cell>
          <cell r="L20">
            <v>150</v>
          </cell>
          <cell r="M20">
            <v>3.3632286995515697E-3</v>
          </cell>
          <cell r="N20">
            <v>123</v>
          </cell>
          <cell r="O20">
            <v>141</v>
          </cell>
        </row>
        <row r="21">
          <cell r="B21" t="str">
            <v>Institut national de la recherche scientifique</v>
          </cell>
          <cell r="C21">
            <v>5</v>
          </cell>
          <cell r="D21">
            <v>155</v>
          </cell>
          <cell r="E21">
            <v>3.9178019867047494E-3</v>
          </cell>
          <cell r="F21">
            <v>152</v>
          </cell>
          <cell r="G21">
            <v>3.5795026375282594E-3</v>
          </cell>
          <cell r="H21">
            <v>121</v>
          </cell>
          <cell r="I21">
            <v>2.8226841159866563E-3</v>
          </cell>
          <cell r="J21">
            <v>153</v>
          </cell>
          <cell r="K21">
            <v>3.4758507883138716E-3</v>
          </cell>
          <cell r="L21">
            <v>147</v>
          </cell>
          <cell r="M21">
            <v>3.2959641255605383E-3</v>
          </cell>
          <cell r="N21">
            <v>142.66666666666666</v>
          </cell>
          <cell r="O21">
            <v>140.33333333333334</v>
          </cell>
        </row>
        <row r="22">
          <cell r="B22" t="str">
            <v>OCAD University</v>
          </cell>
          <cell r="C22">
            <v>5</v>
          </cell>
          <cell r="D22">
            <v>66</v>
          </cell>
          <cell r="E22">
            <v>1.6682253620807319E-3</v>
          </cell>
          <cell r="F22">
            <v>97</v>
          </cell>
          <cell r="G22">
            <v>2.2842878673700077E-3</v>
          </cell>
          <cell r="H22">
            <v>107</v>
          </cell>
          <cell r="I22">
            <v>2.4960925653766302E-3</v>
          </cell>
          <cell r="J22">
            <v>162</v>
          </cell>
          <cell r="K22">
            <v>3.6803125993911581E-3</v>
          </cell>
          <cell r="L22">
            <v>156</v>
          </cell>
          <cell r="M22">
            <v>3.4977578475336325E-3</v>
          </cell>
          <cell r="N22">
            <v>90</v>
          </cell>
          <cell r="O22">
            <v>141.66666666666666</v>
          </cell>
        </row>
        <row r="23">
          <cell r="B23" t="str">
            <v>Nipissing University</v>
          </cell>
          <cell r="C23">
            <v>5</v>
          </cell>
          <cell r="D23">
            <v>162</v>
          </cell>
          <cell r="E23">
            <v>4.0947349796527062E-3</v>
          </cell>
          <cell r="F23">
            <v>174</v>
          </cell>
          <cell r="G23">
            <v>4.0975885455915599E-3</v>
          </cell>
          <cell r="H23">
            <v>181</v>
          </cell>
          <cell r="I23">
            <v>4.2223621900296269E-3</v>
          </cell>
          <cell r="J23">
            <v>165</v>
          </cell>
          <cell r="K23">
            <v>3.7484665364169202E-3</v>
          </cell>
          <cell r="L23">
            <v>177</v>
          </cell>
          <cell r="M23">
            <v>3.9686098654708518E-3</v>
          </cell>
          <cell r="N23">
            <v>172.33333333333334</v>
          </cell>
          <cell r="O23">
            <v>174.33333333333334</v>
          </cell>
        </row>
        <row r="24">
          <cell r="B24" t="str">
            <v>Acadia University</v>
          </cell>
          <cell r="C24">
            <v>6</v>
          </cell>
          <cell r="D24">
            <v>217</v>
          </cell>
          <cell r="E24">
            <v>5.4849227813866495E-3</v>
          </cell>
          <cell r="F24">
            <v>204</v>
          </cell>
          <cell r="G24">
            <v>4.8040693293142428E-3</v>
          </cell>
          <cell r="H24">
            <v>208</v>
          </cell>
          <cell r="I24">
            <v>4.8522173233489629E-3</v>
          </cell>
          <cell r="J24">
            <v>174</v>
          </cell>
          <cell r="K24">
            <v>3.9529283474942067E-3</v>
          </cell>
          <cell r="L24">
            <v>192</v>
          </cell>
          <cell r="M24">
            <v>4.3049327354260092E-3</v>
          </cell>
          <cell r="N24">
            <v>209.66666666666666</v>
          </cell>
          <cell r="O24">
            <v>191.33333333333334</v>
          </cell>
        </row>
        <row r="25">
          <cell r="B25" t="str">
            <v>Athabasca University</v>
          </cell>
          <cell r="C25">
            <v>6</v>
          </cell>
          <cell r="D25">
            <v>168</v>
          </cell>
          <cell r="E25">
            <v>4.2463918307509545E-3</v>
          </cell>
          <cell r="F25">
            <v>179</v>
          </cell>
          <cell r="G25">
            <v>4.215335342878674E-3</v>
          </cell>
          <cell r="H25">
            <v>177</v>
          </cell>
          <cell r="I25">
            <v>4.1290503184267619E-3</v>
          </cell>
          <cell r="J25">
            <v>177</v>
          </cell>
          <cell r="K25">
            <v>4.0210822845199688E-3</v>
          </cell>
          <cell r="L25">
            <v>174</v>
          </cell>
          <cell r="M25">
            <v>3.9013452914798208E-3</v>
          </cell>
          <cell r="N25">
            <v>174.66666666666666</v>
          </cell>
          <cell r="O25">
            <v>176</v>
          </cell>
        </row>
        <row r="26">
          <cell r="B26" t="str">
            <v>Brandon University</v>
          </cell>
          <cell r="C26">
            <v>5</v>
          </cell>
          <cell r="D26">
            <v>162</v>
          </cell>
          <cell r="E26">
            <v>4.0947349796527062E-3</v>
          </cell>
          <cell r="F26">
            <v>164</v>
          </cell>
          <cell r="G26">
            <v>3.8620949510173325E-3</v>
          </cell>
          <cell r="H26">
            <v>165</v>
          </cell>
          <cell r="I26">
            <v>3.8491147036181679E-3</v>
          </cell>
          <cell r="J26">
            <v>180</v>
          </cell>
          <cell r="K26">
            <v>4.089236221545731E-3</v>
          </cell>
          <cell r="L26">
            <v>183</v>
          </cell>
          <cell r="M26">
            <v>4.1031390134529146E-3</v>
          </cell>
          <cell r="N26">
            <v>163.66666666666666</v>
          </cell>
          <cell r="O26">
            <v>176</v>
          </cell>
        </row>
        <row r="27">
          <cell r="B27" t="str">
            <v>University of Northern British Columbia</v>
          </cell>
          <cell r="C27">
            <v>6</v>
          </cell>
          <cell r="D27">
            <v>185</v>
          </cell>
          <cell r="E27">
            <v>4.676086242195991E-3</v>
          </cell>
          <cell r="F27">
            <v>188</v>
          </cell>
          <cell r="G27">
            <v>4.4272795779954788E-3</v>
          </cell>
          <cell r="H27">
            <v>188</v>
          </cell>
          <cell r="I27">
            <v>4.3856579653346398E-3</v>
          </cell>
          <cell r="J27">
            <v>183</v>
          </cell>
          <cell r="K27">
            <v>4.1573901585714931E-3</v>
          </cell>
          <cell r="L27">
            <v>186</v>
          </cell>
          <cell r="M27">
            <v>4.1704035874439464E-3</v>
          </cell>
          <cell r="N27">
            <v>187</v>
          </cell>
          <cell r="O27">
            <v>185.66666666666666</v>
          </cell>
        </row>
        <row r="28">
          <cell r="B28" t="str">
            <v>Université du Québec à Rimouski</v>
          </cell>
          <cell r="C28">
            <v>6</v>
          </cell>
          <cell r="D28">
            <v>186</v>
          </cell>
          <cell r="E28">
            <v>4.7013623840456995E-3</v>
          </cell>
          <cell r="F28">
            <v>188</v>
          </cell>
          <cell r="G28">
            <v>4.4272795779954788E-3</v>
          </cell>
          <cell r="H28">
            <v>198</v>
          </cell>
          <cell r="I28">
            <v>4.6189376443418013E-3</v>
          </cell>
          <cell r="J28">
            <v>195</v>
          </cell>
          <cell r="K28">
            <v>4.4300059066745426E-3</v>
          </cell>
          <cell r="L28">
            <v>198</v>
          </cell>
          <cell r="M28">
            <v>4.439461883408072E-3</v>
          </cell>
          <cell r="N28">
            <v>190.66666666666666</v>
          </cell>
          <cell r="O28">
            <v>197</v>
          </cell>
        </row>
        <row r="29">
          <cell r="B29" t="str">
            <v>École de technologie supérieure</v>
          </cell>
          <cell r="C29">
            <v>7</v>
          </cell>
          <cell r="D29">
            <v>144</v>
          </cell>
          <cell r="E29">
            <v>3.6397644263579608E-3</v>
          </cell>
          <cell r="F29">
            <v>146</v>
          </cell>
          <cell r="G29">
            <v>3.4382064807837228E-3</v>
          </cell>
          <cell r="H29">
            <v>159</v>
          </cell>
          <cell r="I29">
            <v>3.7091468962138709E-3</v>
          </cell>
          <cell r="J29">
            <v>201</v>
          </cell>
          <cell r="K29">
            <v>4.5663137807260669E-3</v>
          </cell>
          <cell r="L29">
            <v>210</v>
          </cell>
          <cell r="M29">
            <v>4.7085201793721975E-3</v>
          </cell>
          <cell r="N29">
            <v>149.66666666666666</v>
          </cell>
          <cell r="O29">
            <v>190</v>
          </cell>
        </row>
        <row r="30">
          <cell r="B30" t="str">
            <v>Trent University</v>
          </cell>
          <cell r="C30">
            <v>7</v>
          </cell>
          <cell r="D30">
            <v>249</v>
          </cell>
          <cell r="E30">
            <v>6.2937593205773072E-3</v>
          </cell>
          <cell r="F30">
            <v>239</v>
          </cell>
          <cell r="G30">
            <v>5.6282969103240389E-3</v>
          </cell>
          <cell r="H30">
            <v>229</v>
          </cell>
          <cell r="I30">
            <v>5.3421046492640022E-3</v>
          </cell>
          <cell r="J30">
            <v>201</v>
          </cell>
          <cell r="K30">
            <v>4.5663137807260669E-3</v>
          </cell>
          <cell r="L30">
            <v>270</v>
          </cell>
          <cell r="M30">
            <v>6.0538116591928254E-3</v>
          </cell>
          <cell r="N30">
            <v>239</v>
          </cell>
          <cell r="O30">
            <v>233.33333333333334</v>
          </cell>
        </row>
        <row r="31">
          <cell r="B31" t="str">
            <v>Royal Military College of Canada</v>
          </cell>
          <cell r="C31">
            <v>5</v>
          </cell>
          <cell r="D31">
            <v>189</v>
          </cell>
          <cell r="E31">
            <v>4.7771908095948232E-3</v>
          </cell>
          <cell r="F31">
            <v>195</v>
          </cell>
          <cell r="G31">
            <v>4.5921250941974379E-3</v>
          </cell>
          <cell r="H31">
            <v>195</v>
          </cell>
          <cell r="I31">
            <v>4.5489537406396526E-3</v>
          </cell>
          <cell r="J31">
            <v>200</v>
          </cell>
          <cell r="K31">
            <v>4.543595801717479E-3</v>
          </cell>
          <cell r="L31">
            <v>205</v>
          </cell>
          <cell r="M31">
            <v>4.5964125560538117E-3</v>
          </cell>
          <cell r="N31">
            <v>193</v>
          </cell>
          <cell r="O31">
            <v>200</v>
          </cell>
        </row>
        <row r="32">
          <cell r="B32" t="str">
            <v>St. Francis Xavier University</v>
          </cell>
          <cell r="C32">
            <v>6</v>
          </cell>
          <cell r="D32">
            <v>245</v>
          </cell>
          <cell r="E32">
            <v>6.192654753178475E-3</v>
          </cell>
          <cell r="F32">
            <v>254</v>
          </cell>
          <cell r="G32">
            <v>5.9815373021853803E-3</v>
          </cell>
          <cell r="H32">
            <v>257</v>
          </cell>
          <cell r="I32">
            <v>5.9952877504840553E-3</v>
          </cell>
          <cell r="J32">
            <v>228</v>
          </cell>
          <cell r="K32">
            <v>5.1796992139579263E-3</v>
          </cell>
          <cell r="L32">
            <v>222</v>
          </cell>
          <cell r="M32">
            <v>4.9775784753363231E-3</v>
          </cell>
          <cell r="N32">
            <v>252</v>
          </cell>
          <cell r="O32">
            <v>235.66666666666666</v>
          </cell>
        </row>
        <row r="33">
          <cell r="B33" t="str">
            <v>University of Prince Edward Island</v>
          </cell>
          <cell r="C33">
            <v>6</v>
          </cell>
          <cell r="D33">
            <v>217</v>
          </cell>
          <cell r="E33">
            <v>5.4849227813866495E-3</v>
          </cell>
          <cell r="F33">
            <v>220</v>
          </cell>
          <cell r="G33">
            <v>5.1808590806330067E-3</v>
          </cell>
          <cell r="H33">
            <v>244</v>
          </cell>
          <cell r="I33">
            <v>5.692024167774745E-3</v>
          </cell>
          <cell r="J33">
            <v>231</v>
          </cell>
          <cell r="K33">
            <v>5.2478531509836885E-3</v>
          </cell>
          <cell r="L33">
            <v>234</v>
          </cell>
          <cell r="M33">
            <v>5.2466367713004487E-3</v>
          </cell>
          <cell r="N33">
            <v>227</v>
          </cell>
          <cell r="O33">
            <v>236.33333333333334</v>
          </cell>
        </row>
        <row r="34">
          <cell r="B34" t="str">
            <v>Université du Québec à Chicoutimi</v>
          </cell>
          <cell r="C34">
            <v>7</v>
          </cell>
          <cell r="D34">
            <v>227</v>
          </cell>
          <cell r="E34">
            <v>5.7376841998837301E-3</v>
          </cell>
          <cell r="F34">
            <v>226</v>
          </cell>
          <cell r="G34">
            <v>5.3221552373775433E-3</v>
          </cell>
          <cell r="H34">
            <v>228</v>
          </cell>
          <cell r="I34">
            <v>5.3187766813632869E-3</v>
          </cell>
          <cell r="J34">
            <v>237</v>
          </cell>
          <cell r="K34">
            <v>5.3841610250352128E-3</v>
          </cell>
          <cell r="L34">
            <v>240</v>
          </cell>
          <cell r="M34">
            <v>5.3811659192825115E-3</v>
          </cell>
          <cell r="N34">
            <v>227</v>
          </cell>
          <cell r="O34">
            <v>235</v>
          </cell>
        </row>
        <row r="35">
          <cell r="B35" t="str">
            <v>Université du Québec en Outaouais</v>
          </cell>
          <cell r="C35">
            <v>6</v>
          </cell>
          <cell r="D35">
            <v>179</v>
          </cell>
          <cell r="E35">
            <v>4.5244293910977427E-3</v>
          </cell>
          <cell r="F35">
            <v>180</v>
          </cell>
          <cell r="G35">
            <v>4.2388847023360965E-3</v>
          </cell>
          <cell r="H35">
            <v>187</v>
          </cell>
          <cell r="I35">
            <v>4.3623299974339235E-3</v>
          </cell>
          <cell r="J35">
            <v>243</v>
          </cell>
          <cell r="K35">
            <v>5.5204688990867371E-3</v>
          </cell>
          <cell r="L35">
            <v>243</v>
          </cell>
          <cell r="M35">
            <v>5.4484304932735424E-3</v>
          </cell>
          <cell r="N35">
            <v>182</v>
          </cell>
          <cell r="O35">
            <v>224.33333333333334</v>
          </cell>
        </row>
        <row r="36">
          <cell r="B36" t="str">
            <v>Saint Mary's University</v>
          </cell>
          <cell r="C36">
            <v>6</v>
          </cell>
          <cell r="D36">
            <v>235</v>
          </cell>
          <cell r="E36">
            <v>5.9398933346813945E-3</v>
          </cell>
          <cell r="F36">
            <v>239</v>
          </cell>
          <cell r="G36">
            <v>5.6282969103240389E-3</v>
          </cell>
          <cell r="H36">
            <v>238</v>
          </cell>
          <cell r="I36">
            <v>5.5520563603704484E-3</v>
          </cell>
          <cell r="J36">
            <v>252</v>
          </cell>
          <cell r="K36">
            <v>5.7249307101640235E-3</v>
          </cell>
          <cell r="L36">
            <v>255</v>
          </cell>
          <cell r="M36">
            <v>5.717488789237668E-3</v>
          </cell>
          <cell r="N36">
            <v>237.33333333333334</v>
          </cell>
          <cell r="O36">
            <v>248.33333333333334</v>
          </cell>
        </row>
        <row r="37">
          <cell r="B37" t="str">
            <v>University of the Fraser Valley</v>
          </cell>
          <cell r="C37">
            <v>6</v>
          </cell>
          <cell r="E37">
            <v>0</v>
          </cell>
          <cell r="F37">
            <v>253</v>
          </cell>
          <cell r="G37">
            <v>5.9579879427279579E-3</v>
          </cell>
          <cell r="H37">
            <v>249</v>
          </cell>
          <cell r="I37">
            <v>5.8086640072783262E-3</v>
          </cell>
          <cell r="J37">
            <v>255</v>
          </cell>
          <cell r="K37">
            <v>5.7930846471897857E-3</v>
          </cell>
          <cell r="L37">
            <v>270</v>
          </cell>
          <cell r="M37">
            <v>6.0538116591928254E-3</v>
          </cell>
          <cell r="N37">
            <v>251</v>
          </cell>
          <cell r="O37">
            <v>258</v>
          </cell>
        </row>
        <row r="38">
          <cell r="B38" t="str">
            <v>École Polytechnique de Montréal</v>
          </cell>
          <cell r="C38">
            <v>8</v>
          </cell>
          <cell r="D38">
            <v>209</v>
          </cell>
          <cell r="E38">
            <v>5.2827136465889843E-3</v>
          </cell>
          <cell r="F38">
            <v>221</v>
          </cell>
          <cell r="G38">
            <v>5.2044084400904292E-3</v>
          </cell>
          <cell r="H38">
            <v>222</v>
          </cell>
          <cell r="I38">
            <v>5.1788088739589894E-3</v>
          </cell>
          <cell r="J38">
            <v>258</v>
          </cell>
          <cell r="K38">
            <v>5.8612385842155479E-3</v>
          </cell>
          <cell r="L38">
            <v>255</v>
          </cell>
          <cell r="M38">
            <v>5.717488789237668E-3</v>
          </cell>
          <cell r="N38">
            <v>217.33333333333334</v>
          </cell>
          <cell r="O38">
            <v>245</v>
          </cell>
        </row>
        <row r="39">
          <cell r="B39" t="str">
            <v>Vancouver Island University</v>
          </cell>
          <cell r="C39">
            <v>6</v>
          </cell>
          <cell r="E39">
            <v>0</v>
          </cell>
          <cell r="F39">
            <v>261</v>
          </cell>
          <cell r="G39">
            <v>6.1463828183873402E-3</v>
          </cell>
          <cell r="H39">
            <v>275</v>
          </cell>
          <cell r="I39">
            <v>6.4151911726969468E-3</v>
          </cell>
          <cell r="J39">
            <v>258</v>
          </cell>
          <cell r="K39">
            <v>5.8612385842155479E-3</v>
          </cell>
          <cell r="L39">
            <v>261</v>
          </cell>
          <cell r="M39">
            <v>5.8520179372197308E-3</v>
          </cell>
          <cell r="N39">
            <v>268</v>
          </cell>
          <cell r="O39">
            <v>264.66666666666669</v>
          </cell>
        </row>
        <row r="40">
          <cell r="B40" t="str">
            <v>University of Ontario Institute of Technology</v>
          </cell>
          <cell r="C40">
            <v>7</v>
          </cell>
          <cell r="D40">
            <v>137</v>
          </cell>
          <cell r="E40">
            <v>3.4628314334100045E-3</v>
          </cell>
          <cell r="F40">
            <v>149</v>
          </cell>
          <cell r="G40">
            <v>3.5088545591559911E-3</v>
          </cell>
          <cell r="H40">
            <v>158</v>
          </cell>
          <cell r="I40">
            <v>3.6858189283131546E-3</v>
          </cell>
          <cell r="J40">
            <v>270</v>
          </cell>
          <cell r="K40">
            <v>6.1338543323185973E-3</v>
          </cell>
          <cell r="L40">
            <v>243</v>
          </cell>
          <cell r="M40">
            <v>5.4484304932735424E-3</v>
          </cell>
          <cell r="N40">
            <v>148</v>
          </cell>
          <cell r="O40">
            <v>223.66666666666666</v>
          </cell>
        </row>
        <row r="41">
          <cell r="B41" t="str">
            <v>Université de Moncton</v>
          </cell>
          <cell r="C41">
            <v>6</v>
          </cell>
          <cell r="D41">
            <v>276</v>
          </cell>
          <cell r="E41">
            <v>6.9762151505194251E-3</v>
          </cell>
          <cell r="F41">
            <v>285</v>
          </cell>
          <cell r="G41">
            <v>6.7115674453654857E-3</v>
          </cell>
          <cell r="H41">
            <v>274</v>
          </cell>
          <cell r="I41">
            <v>6.3918632047962306E-3</v>
          </cell>
          <cell r="J41">
            <v>276</v>
          </cell>
          <cell r="K41">
            <v>6.2701622063701216E-3</v>
          </cell>
          <cell r="L41">
            <v>283</v>
          </cell>
          <cell r="M41">
            <v>6.345291479820628E-3</v>
          </cell>
          <cell r="N41">
            <v>278.33333333333331</v>
          </cell>
          <cell r="O41">
            <v>277.66666666666669</v>
          </cell>
        </row>
        <row r="42">
          <cell r="B42" t="str">
            <v>HEC Montréal</v>
          </cell>
          <cell r="C42">
            <v>7</v>
          </cell>
          <cell r="D42">
            <v>216</v>
          </cell>
          <cell r="E42">
            <v>5.4596466395369411E-3</v>
          </cell>
          <cell r="F42">
            <v>214</v>
          </cell>
          <cell r="G42">
            <v>5.0395629238884701E-3</v>
          </cell>
          <cell r="H42">
            <v>235</v>
          </cell>
          <cell r="I42">
            <v>5.4820724566682997E-3</v>
          </cell>
          <cell r="J42">
            <v>282</v>
          </cell>
          <cell r="K42">
            <v>6.406470080421646E-3</v>
          </cell>
          <cell r="L42">
            <v>279</v>
          </cell>
          <cell r="M42">
            <v>6.2556053811659192E-3</v>
          </cell>
          <cell r="N42">
            <v>221.66666666666666</v>
          </cell>
          <cell r="O42">
            <v>265.33333333333331</v>
          </cell>
        </row>
        <row r="43">
          <cell r="B43" t="str">
            <v>Thompson Rivers University</v>
          </cell>
          <cell r="C43">
            <v>6</v>
          </cell>
          <cell r="E43">
            <v>0</v>
          </cell>
          <cell r="F43">
            <v>284</v>
          </cell>
          <cell r="G43">
            <v>6.6880180859080632E-3</v>
          </cell>
          <cell r="H43">
            <v>288</v>
          </cell>
          <cell r="I43">
            <v>6.7184547554062562E-3</v>
          </cell>
          <cell r="J43">
            <v>318</v>
          </cell>
          <cell r="K43">
            <v>7.2243173247307918E-3</v>
          </cell>
          <cell r="L43">
            <v>321</v>
          </cell>
          <cell r="M43">
            <v>7.1973094170403587E-3</v>
          </cell>
          <cell r="N43">
            <v>286</v>
          </cell>
          <cell r="O43">
            <v>309</v>
          </cell>
        </row>
        <row r="44">
          <cell r="B44" t="str">
            <v>Lakehead University</v>
          </cell>
          <cell r="C44">
            <v>7</v>
          </cell>
          <cell r="D44">
            <v>294</v>
          </cell>
          <cell r="E44">
            <v>7.43118570381417E-3</v>
          </cell>
          <cell r="F44">
            <v>283</v>
          </cell>
          <cell r="G44">
            <v>6.6644687264506407E-3</v>
          </cell>
          <cell r="H44">
            <v>308</v>
          </cell>
          <cell r="I44">
            <v>7.1850141134205802E-3</v>
          </cell>
          <cell r="J44">
            <v>324</v>
          </cell>
          <cell r="K44">
            <v>7.3606251987823161E-3</v>
          </cell>
          <cell r="L44">
            <v>336</v>
          </cell>
          <cell r="M44">
            <v>7.5336322869955161E-3</v>
          </cell>
          <cell r="N44">
            <v>295</v>
          </cell>
          <cell r="O44">
            <v>322.66666666666669</v>
          </cell>
        </row>
        <row r="45">
          <cell r="B45" t="str">
            <v>University of Winnipeg</v>
          </cell>
          <cell r="C45">
            <v>7</v>
          </cell>
          <cell r="D45">
            <v>293</v>
          </cell>
          <cell r="E45">
            <v>7.4059095619644615E-3</v>
          </cell>
          <cell r="F45">
            <v>315</v>
          </cell>
          <cell r="G45">
            <v>7.4180482290881686E-3</v>
          </cell>
          <cell r="H45">
            <v>326</v>
          </cell>
          <cell r="I45">
            <v>7.6049175356334708E-3</v>
          </cell>
          <cell r="J45">
            <v>330</v>
          </cell>
          <cell r="K45">
            <v>7.4969330728338404E-3</v>
          </cell>
          <cell r="L45">
            <v>345</v>
          </cell>
          <cell r="M45">
            <v>7.7354260089686098E-3</v>
          </cell>
          <cell r="N45">
            <v>311.33333333333331</v>
          </cell>
          <cell r="O45">
            <v>333.66666666666669</v>
          </cell>
        </row>
        <row r="46">
          <cell r="B46" t="str">
            <v>Mount Royal University</v>
          </cell>
          <cell r="C46">
            <v>7</v>
          </cell>
          <cell r="E46">
            <v>0</v>
          </cell>
          <cell r="F46">
            <v>324</v>
          </cell>
          <cell r="G46">
            <v>7.6299924642049734E-3</v>
          </cell>
          <cell r="H46">
            <v>336</v>
          </cell>
          <cell r="I46">
            <v>7.8381972146406333E-3</v>
          </cell>
          <cell r="J46">
            <v>342</v>
          </cell>
          <cell r="K46">
            <v>7.769548820936889E-3</v>
          </cell>
          <cell r="L46">
            <v>345</v>
          </cell>
          <cell r="M46">
            <v>7.7354260089686098E-3</v>
          </cell>
          <cell r="N46">
            <v>330</v>
          </cell>
          <cell r="O46">
            <v>341</v>
          </cell>
        </row>
        <row r="47">
          <cell r="B47" t="str">
            <v>Laurentian University</v>
          </cell>
          <cell r="C47">
            <v>8</v>
          </cell>
          <cell r="D47">
            <v>391</v>
          </cell>
          <cell r="E47">
            <v>9.8829714632358515E-3</v>
          </cell>
          <cell r="F47">
            <v>379</v>
          </cell>
          <cell r="G47">
            <v>8.925207234363226E-3</v>
          </cell>
          <cell r="H47">
            <v>365</v>
          </cell>
          <cell r="I47">
            <v>8.5147082837614008E-3</v>
          </cell>
          <cell r="J47">
            <v>372</v>
          </cell>
          <cell r="K47">
            <v>8.4510881911945106E-3</v>
          </cell>
          <cell r="L47">
            <v>369</v>
          </cell>
          <cell r="M47">
            <v>8.2735426008968618E-3</v>
          </cell>
          <cell r="N47">
            <v>378.33333333333331</v>
          </cell>
          <cell r="O47">
            <v>368.66666666666669</v>
          </cell>
        </row>
        <row r="48">
          <cell r="B48" t="str">
            <v>MacEwan University</v>
          </cell>
          <cell r="C48">
            <v>6</v>
          </cell>
          <cell r="E48">
            <v>0</v>
          </cell>
          <cell r="F48">
            <v>314</v>
          </cell>
          <cell r="G48">
            <v>7.3944988696307461E-3</v>
          </cell>
          <cell r="H48">
            <v>334</v>
          </cell>
          <cell r="I48">
            <v>7.7915412788391999E-3</v>
          </cell>
          <cell r="J48">
            <v>384</v>
          </cell>
          <cell r="K48">
            <v>8.7237039392975609E-3</v>
          </cell>
          <cell r="L48">
            <v>402</v>
          </cell>
          <cell r="M48">
            <v>9.0134529147982059E-3</v>
          </cell>
          <cell r="N48">
            <v>324</v>
          </cell>
          <cell r="O48">
            <v>373.33333333333331</v>
          </cell>
        </row>
        <row r="49">
          <cell r="B49" t="str">
            <v>Kwantlen Polytechnic University</v>
          </cell>
          <cell r="C49">
            <v>6</v>
          </cell>
          <cell r="E49">
            <v>0</v>
          </cell>
          <cell r="F49">
            <v>355</v>
          </cell>
          <cell r="G49">
            <v>8.3600226073850797E-3</v>
          </cell>
          <cell r="H49">
            <v>375</v>
          </cell>
          <cell r="I49">
            <v>8.7479879627685633E-3</v>
          </cell>
          <cell r="J49">
            <v>393</v>
          </cell>
          <cell r="K49">
            <v>8.9281657503748474E-3</v>
          </cell>
          <cell r="L49">
            <v>417</v>
          </cell>
          <cell r="M49">
            <v>9.3497757847533624E-3</v>
          </cell>
          <cell r="N49">
            <v>365</v>
          </cell>
          <cell r="O49">
            <v>395</v>
          </cell>
        </row>
        <row r="50">
          <cell r="B50" t="str">
            <v>Université du Québec à Trois-Rivières</v>
          </cell>
          <cell r="C50">
            <v>8</v>
          </cell>
          <cell r="D50">
            <v>344</v>
          </cell>
          <cell r="E50">
            <v>8.6949927962995735E-3</v>
          </cell>
          <cell r="F50">
            <v>360</v>
          </cell>
          <cell r="G50">
            <v>8.4777694046721929E-3</v>
          </cell>
          <cell r="H50">
            <v>382</v>
          </cell>
          <cell r="I50">
            <v>8.911283738073577E-3</v>
          </cell>
          <cell r="J50">
            <v>435</v>
          </cell>
          <cell r="K50">
            <v>9.8823208687355175E-3</v>
          </cell>
          <cell r="L50">
            <v>429</v>
          </cell>
          <cell r="M50">
            <v>9.618834080717488E-3</v>
          </cell>
          <cell r="N50">
            <v>362</v>
          </cell>
          <cell r="O50">
            <v>415.33333333333331</v>
          </cell>
        </row>
        <row r="51">
          <cell r="B51" t="str">
            <v>University of Lethbridge</v>
          </cell>
          <cell r="C51">
            <v>8</v>
          </cell>
          <cell r="D51">
            <v>438</v>
          </cell>
          <cell r="E51">
            <v>1.1070950130172131E-2</v>
          </cell>
          <cell r="F51">
            <v>441</v>
          </cell>
          <cell r="G51">
            <v>1.0385267520723437E-2</v>
          </cell>
          <cell r="H51">
            <v>450</v>
          </cell>
          <cell r="I51">
            <v>1.0497585555322276E-2</v>
          </cell>
          <cell r="J51">
            <v>447</v>
          </cell>
          <cell r="K51">
            <v>1.0154936616838566E-2</v>
          </cell>
          <cell r="L51">
            <v>432</v>
          </cell>
          <cell r="M51">
            <v>9.6860986547085207E-3</v>
          </cell>
          <cell r="N51">
            <v>443</v>
          </cell>
          <cell r="O51">
            <v>443</v>
          </cell>
        </row>
        <row r="52">
          <cell r="B52" t="str">
            <v>University of Regina</v>
          </cell>
          <cell r="C52">
            <v>8</v>
          </cell>
          <cell r="D52">
            <v>438</v>
          </cell>
          <cell r="E52">
            <v>1.1070950130172131E-2</v>
          </cell>
          <cell r="F52">
            <v>439</v>
          </cell>
          <cell r="G52">
            <v>1.033816880180859E-2</v>
          </cell>
          <cell r="H52">
            <v>440</v>
          </cell>
          <cell r="I52">
            <v>1.0264305876315114E-2</v>
          </cell>
          <cell r="J52">
            <v>477</v>
          </cell>
          <cell r="K52">
            <v>1.0836475987096188E-2</v>
          </cell>
          <cell r="L52">
            <v>480</v>
          </cell>
          <cell r="M52">
            <v>1.0762331838565023E-2</v>
          </cell>
          <cell r="N52">
            <v>439</v>
          </cell>
          <cell r="O52">
            <v>465.66666666666669</v>
          </cell>
        </row>
        <row r="53">
          <cell r="B53" t="str">
            <v>University of Windsor</v>
          </cell>
          <cell r="C53">
            <v>8</v>
          </cell>
          <cell r="D53">
            <v>526</v>
          </cell>
          <cell r="E53">
            <v>1.329525061294644E-2</v>
          </cell>
          <cell r="F53">
            <v>522</v>
          </cell>
          <cell r="G53">
            <v>1.229276563677468E-2</v>
          </cell>
          <cell r="H53">
            <v>523</v>
          </cell>
          <cell r="I53">
            <v>1.2200527212074557E-2</v>
          </cell>
          <cell r="J53">
            <v>495</v>
          </cell>
          <cell r="K53">
            <v>1.1245399609250761E-2</v>
          </cell>
          <cell r="L53">
            <v>501</v>
          </cell>
          <cell r="M53">
            <v>1.1233183856502241E-2</v>
          </cell>
          <cell r="N53">
            <v>523.66666666666663</v>
          </cell>
          <cell r="O53">
            <v>506.33333333333331</v>
          </cell>
        </row>
        <row r="54">
          <cell r="B54" t="str">
            <v>Wilfrid Laurier University</v>
          </cell>
          <cell r="C54">
            <v>8</v>
          </cell>
          <cell r="D54">
            <v>498</v>
          </cell>
          <cell r="E54">
            <v>1.2587518641154614E-2</v>
          </cell>
          <cell r="F54">
            <v>515</v>
          </cell>
          <cell r="G54">
            <v>1.2127920120572721E-2</v>
          </cell>
          <cell r="H54">
            <v>533</v>
          </cell>
          <cell r="I54">
            <v>1.2433806891081717E-2</v>
          </cell>
          <cell r="J54">
            <v>546</v>
          </cell>
          <cell r="K54">
            <v>1.2404016538688719E-2</v>
          </cell>
          <cell r="L54">
            <v>549</v>
          </cell>
          <cell r="M54">
            <v>1.2309417040358744E-2</v>
          </cell>
          <cell r="N54">
            <v>515.33333333333337</v>
          </cell>
          <cell r="O54">
            <v>542.66666666666663</v>
          </cell>
        </row>
        <row r="55">
          <cell r="B55" t="str">
            <v>Brock University</v>
          </cell>
          <cell r="C55">
            <v>8</v>
          </cell>
          <cell r="D55">
            <v>581</v>
          </cell>
          <cell r="E55">
            <v>1.4685438414680382E-2</v>
          </cell>
          <cell r="F55">
            <v>565</v>
          </cell>
          <cell r="G55">
            <v>1.3305388093443858E-2</v>
          </cell>
          <cell r="H55">
            <v>563</v>
          </cell>
          <cell r="I55">
            <v>1.3133645928103203E-2</v>
          </cell>
          <cell r="J55">
            <v>582</v>
          </cell>
          <cell r="K55">
            <v>1.3221863782997865E-2</v>
          </cell>
          <cell r="L55">
            <v>573</v>
          </cell>
          <cell r="M55">
            <v>1.2847533632286995E-2</v>
          </cell>
          <cell r="N55">
            <v>569.66666666666663</v>
          </cell>
          <cell r="O55">
            <v>572.66666666666663</v>
          </cell>
        </row>
        <row r="56">
          <cell r="B56" t="str">
            <v>University of New Brunswick</v>
          </cell>
          <cell r="C56">
            <v>9</v>
          </cell>
          <cell r="D56">
            <v>579</v>
          </cell>
          <cell r="E56">
            <v>1.4634886130980967E-2</v>
          </cell>
          <cell r="F56">
            <v>567</v>
          </cell>
          <cell r="G56">
            <v>1.3352486812358703E-2</v>
          </cell>
          <cell r="H56">
            <v>695</v>
          </cell>
          <cell r="I56">
            <v>1.6212937690997738E-2</v>
          </cell>
          <cell r="J56">
            <v>558</v>
          </cell>
          <cell r="K56">
            <v>1.2676632286791768E-2</v>
          </cell>
          <cell r="L56">
            <v>654</v>
          </cell>
          <cell r="M56">
            <v>1.4663677130044843E-2</v>
          </cell>
          <cell r="N56">
            <v>613.66666666666663</v>
          </cell>
          <cell r="O56">
            <v>635.66666666666663</v>
          </cell>
        </row>
        <row r="57">
          <cell r="B57" t="str">
            <v>University of Guelph</v>
          </cell>
          <cell r="C57">
            <v>10</v>
          </cell>
          <cell r="D57">
            <v>798</v>
          </cell>
          <cell r="E57">
            <v>2.0170361196067032E-2</v>
          </cell>
          <cell r="F57">
            <v>788</v>
          </cell>
          <cell r="G57">
            <v>1.8556895252449135E-2</v>
          </cell>
          <cell r="H57">
            <v>780</v>
          </cell>
          <cell r="I57">
            <v>1.819581496255861E-2</v>
          </cell>
          <cell r="J57">
            <v>756</v>
          </cell>
          <cell r="K57">
            <v>1.717479213049207E-2</v>
          </cell>
          <cell r="L57">
            <v>783</v>
          </cell>
          <cell r="M57">
            <v>1.7556053811659193E-2</v>
          </cell>
          <cell r="N57">
            <v>788.66666666666663</v>
          </cell>
          <cell r="O57">
            <v>773</v>
          </cell>
        </row>
        <row r="58">
          <cell r="B58" t="str">
            <v>University of Victoria</v>
          </cell>
          <cell r="C58">
            <v>10</v>
          </cell>
          <cell r="D58">
            <v>739</v>
          </cell>
          <cell r="E58">
            <v>1.8679068826934257E-2</v>
          </cell>
          <cell r="F58">
            <v>738</v>
          </cell>
          <cell r="G58">
            <v>1.7379427279577996E-2</v>
          </cell>
          <cell r="H58">
            <v>755</v>
          </cell>
          <cell r="I58">
            <v>1.7612615765040706E-2</v>
          </cell>
          <cell r="J58">
            <v>756</v>
          </cell>
          <cell r="K58">
            <v>1.717479213049207E-2</v>
          </cell>
          <cell r="L58">
            <v>717</v>
          </cell>
          <cell r="M58">
            <v>1.6076233183856502E-2</v>
          </cell>
          <cell r="N58">
            <v>744</v>
          </cell>
          <cell r="O58">
            <v>742.66666666666663</v>
          </cell>
        </row>
        <row r="59">
          <cell r="B59" t="str">
            <v>Queen's University</v>
          </cell>
          <cell r="C59">
            <v>10</v>
          </cell>
          <cell r="D59">
            <v>811</v>
          </cell>
          <cell r="E59">
            <v>2.0498951040113237E-2</v>
          </cell>
          <cell r="F59">
            <v>812</v>
          </cell>
          <cell r="G59">
            <v>1.9122079879427281E-2</v>
          </cell>
          <cell r="H59">
            <v>802</v>
          </cell>
          <cell r="I59">
            <v>1.8709030256374368E-2</v>
          </cell>
          <cell r="J59">
            <v>759</v>
          </cell>
          <cell r="K59">
            <v>1.7242946067517834E-2</v>
          </cell>
          <cell r="L59">
            <v>768</v>
          </cell>
          <cell r="M59">
            <v>1.7219730941704037E-2</v>
          </cell>
          <cell r="N59">
            <v>808.33333333333337</v>
          </cell>
          <cell r="O59">
            <v>776.33333333333337</v>
          </cell>
        </row>
        <row r="60">
          <cell r="B60" t="str">
            <v>Carleton University</v>
          </cell>
          <cell r="C60">
            <v>10</v>
          </cell>
          <cell r="D60">
            <v>809</v>
          </cell>
          <cell r="E60">
            <v>2.044839875641382E-2</v>
          </cell>
          <cell r="F60">
            <v>812</v>
          </cell>
          <cell r="G60">
            <v>1.9122079879427281E-2</v>
          </cell>
          <cell r="H60">
            <v>821</v>
          </cell>
          <cell r="I60">
            <v>1.9152261646487975E-2</v>
          </cell>
          <cell r="J60">
            <v>882</v>
          </cell>
          <cell r="K60">
            <v>2.0037257485574084E-2</v>
          </cell>
          <cell r="L60">
            <v>921</v>
          </cell>
          <cell r="M60">
            <v>2.0650224215246638E-2</v>
          </cell>
          <cell r="N60">
            <v>814</v>
          </cell>
          <cell r="O60">
            <v>874.66666666666663</v>
          </cell>
        </row>
        <row r="61">
          <cell r="B61" t="str">
            <v>McMaster University</v>
          </cell>
          <cell r="C61">
            <v>11</v>
          </cell>
          <cell r="D61">
            <v>1227</v>
          </cell>
          <cell r="E61">
            <v>3.101382604959179E-2</v>
          </cell>
          <cell r="F61">
            <v>1293</v>
          </cell>
          <cell r="G61">
            <v>3.0449321778447627E-2</v>
          </cell>
          <cell r="H61">
            <v>1305</v>
          </cell>
          <cell r="I61">
            <v>3.0442998110434601E-2</v>
          </cell>
          <cell r="J61">
            <v>894</v>
          </cell>
          <cell r="K61">
            <v>2.0309873233677132E-2</v>
          </cell>
          <cell r="L61">
            <v>933</v>
          </cell>
          <cell r="M61">
            <v>2.0919282511210762E-2</v>
          </cell>
          <cell r="N61">
            <v>1275</v>
          </cell>
          <cell r="O61">
            <v>1044</v>
          </cell>
        </row>
        <row r="62">
          <cell r="B62" t="str">
            <v>Concordia University</v>
          </cell>
          <cell r="C62">
            <v>10</v>
          </cell>
          <cell r="D62">
            <v>931</v>
          </cell>
          <cell r="E62">
            <v>2.3532088062078203E-2</v>
          </cell>
          <cell r="F62">
            <v>952</v>
          </cell>
          <cell r="G62">
            <v>2.2418990203466466E-2</v>
          </cell>
          <cell r="H62">
            <v>992</v>
          </cell>
          <cell r="I62">
            <v>2.314134415751044E-2</v>
          </cell>
          <cell r="J62">
            <v>960</v>
          </cell>
          <cell r="K62">
            <v>2.18092598482439E-2</v>
          </cell>
          <cell r="L62">
            <v>1026</v>
          </cell>
          <cell r="M62">
            <v>2.3004484304932734E-2</v>
          </cell>
          <cell r="N62">
            <v>958.33333333333337</v>
          </cell>
          <cell r="O62">
            <v>992.66666666666663</v>
          </cell>
        </row>
        <row r="63">
          <cell r="B63" t="str">
            <v>Dalhousie University</v>
          </cell>
          <cell r="C63">
            <v>10</v>
          </cell>
          <cell r="D63">
            <v>971</v>
          </cell>
          <cell r="E63">
            <v>2.4543133736066525E-2</v>
          </cell>
          <cell r="F63">
            <v>989</v>
          </cell>
          <cell r="G63">
            <v>2.3290316503391108E-2</v>
          </cell>
          <cell r="H63">
            <v>1059</v>
          </cell>
          <cell r="I63">
            <v>2.4704318006858423E-2</v>
          </cell>
          <cell r="J63">
            <v>981</v>
          </cell>
          <cell r="K63">
            <v>2.2286337407424237E-2</v>
          </cell>
          <cell r="L63">
            <v>975</v>
          </cell>
          <cell r="M63">
            <v>2.1860986547085202E-2</v>
          </cell>
          <cell r="N63">
            <v>1006.3333333333334</v>
          </cell>
          <cell r="O63">
            <v>1005</v>
          </cell>
        </row>
        <row r="64">
          <cell r="B64" t="str">
            <v>University of Saskatchewan</v>
          </cell>
          <cell r="C64">
            <v>10</v>
          </cell>
          <cell r="D64">
            <v>1014</v>
          </cell>
          <cell r="E64">
            <v>2.5630007835603975E-2</v>
          </cell>
          <cell r="F64">
            <v>1048</v>
          </cell>
          <cell r="G64">
            <v>2.4679728711379051E-2</v>
          </cell>
          <cell r="H64">
            <v>1078</v>
          </cell>
          <cell r="I64">
            <v>2.514754939697203E-2</v>
          </cell>
          <cell r="J64">
            <v>1008</v>
          </cell>
          <cell r="K64">
            <v>2.2899722840656094E-2</v>
          </cell>
          <cell r="L64">
            <v>972</v>
          </cell>
          <cell r="M64">
            <v>2.179372197309417E-2</v>
          </cell>
          <cell r="N64">
            <v>1046.6666666666667</v>
          </cell>
          <cell r="O64">
            <v>1019.3333333333334</v>
          </cell>
        </row>
        <row r="65">
          <cell r="B65" t="str">
            <v>Simon Fraser University</v>
          </cell>
          <cell r="C65">
            <v>10</v>
          </cell>
          <cell r="D65">
            <v>981</v>
          </cell>
          <cell r="E65">
            <v>2.4795895154563607E-2</v>
          </cell>
          <cell r="F65">
            <v>936</v>
          </cell>
          <cell r="G65">
            <v>2.2042200452147703E-2</v>
          </cell>
          <cell r="H65">
            <v>620</v>
          </cell>
          <cell r="I65">
            <v>1.4463340098444025E-2</v>
          </cell>
          <cell r="J65">
            <v>1011</v>
          </cell>
          <cell r="K65">
            <v>2.2967876777681858E-2</v>
          </cell>
          <cell r="L65">
            <v>1002</v>
          </cell>
          <cell r="M65">
            <v>2.2466367713004483E-2</v>
          </cell>
          <cell r="N65">
            <v>845.66666666666663</v>
          </cell>
          <cell r="O65">
            <v>877.66666666666663</v>
          </cell>
        </row>
        <row r="66">
          <cell r="B66" t="str">
            <v>Memorial University of Newfoundland</v>
          </cell>
          <cell r="C66">
            <v>10</v>
          </cell>
          <cell r="D66">
            <v>900</v>
          </cell>
          <cell r="E66">
            <v>2.2748527664737256E-2</v>
          </cell>
          <cell r="F66">
            <v>922</v>
          </cell>
          <cell r="G66">
            <v>2.1712509419743783E-2</v>
          </cell>
          <cell r="H66">
            <v>935</v>
          </cell>
          <cell r="I66">
            <v>2.1811649987169619E-2</v>
          </cell>
          <cell r="J66">
            <v>1035</v>
          </cell>
          <cell r="K66">
            <v>2.3513108273887955E-2</v>
          </cell>
          <cell r="L66">
            <v>1002</v>
          </cell>
          <cell r="M66">
            <v>2.2466367713004483E-2</v>
          </cell>
          <cell r="N66">
            <v>919</v>
          </cell>
          <cell r="O66">
            <v>990.66666666666663</v>
          </cell>
        </row>
        <row r="67">
          <cell r="B67" t="str">
            <v>Ryerson University</v>
          </cell>
          <cell r="C67">
            <v>10</v>
          </cell>
          <cell r="D67">
            <v>708</v>
          </cell>
          <cell r="E67">
            <v>1.7895508429593306E-2</v>
          </cell>
          <cell r="F67">
            <v>915</v>
          </cell>
          <cell r="G67">
            <v>2.1547663903541823E-2</v>
          </cell>
          <cell r="H67">
            <v>931</v>
          </cell>
          <cell r="I67">
            <v>2.1718338115566754E-2</v>
          </cell>
          <cell r="J67">
            <v>1047</v>
          </cell>
          <cell r="K67">
            <v>2.3785724021991004E-2</v>
          </cell>
          <cell r="L67">
            <v>1065</v>
          </cell>
          <cell r="M67">
            <v>2.3878923766816145E-2</v>
          </cell>
          <cell r="N67">
            <v>851.33333333333337</v>
          </cell>
          <cell r="O67">
            <v>1014.3333333333334</v>
          </cell>
        </row>
        <row r="68">
          <cell r="B68" t="str">
            <v>Université du Québec à Montréal</v>
          </cell>
          <cell r="C68">
            <v>10</v>
          </cell>
          <cell r="D68">
            <v>930</v>
          </cell>
          <cell r="E68">
            <v>2.3506811920228497E-2</v>
          </cell>
          <cell r="F68">
            <v>942</v>
          </cell>
          <cell r="G68">
            <v>2.2183496608892239E-2</v>
          </cell>
          <cell r="H68">
            <v>956</v>
          </cell>
          <cell r="I68">
            <v>2.2301537313084659E-2</v>
          </cell>
          <cell r="J68">
            <v>1101</v>
          </cell>
          <cell r="K68">
            <v>2.5012494888454723E-2</v>
          </cell>
          <cell r="L68">
            <v>1101</v>
          </cell>
          <cell r="M68">
            <v>2.468609865470852E-2</v>
          </cell>
          <cell r="N68">
            <v>942.66666666666663</v>
          </cell>
          <cell r="O68">
            <v>1052.6666666666667</v>
          </cell>
        </row>
        <row r="69">
          <cell r="B69" t="str">
            <v>Université de Sherbrooke</v>
          </cell>
          <cell r="C69">
            <v>10</v>
          </cell>
          <cell r="D69">
            <v>1013</v>
          </cell>
          <cell r="E69">
            <v>2.5604731693754264E-2</v>
          </cell>
          <cell r="F69">
            <v>1036</v>
          </cell>
          <cell r="G69">
            <v>2.4397136397889978E-2</v>
          </cell>
          <cell r="H69">
            <v>1070</v>
          </cell>
          <cell r="I69">
            <v>2.49609256537663E-2</v>
          </cell>
          <cell r="J69">
            <v>1131</v>
          </cell>
          <cell r="K69">
            <v>2.5694034258712344E-2</v>
          </cell>
          <cell r="L69">
            <v>1134</v>
          </cell>
          <cell r="M69">
            <v>2.5426008968609866E-2</v>
          </cell>
          <cell r="N69">
            <v>1039.6666666666667</v>
          </cell>
          <cell r="O69">
            <v>1111.6666666666667</v>
          </cell>
        </row>
        <row r="70">
          <cell r="B70" t="str">
            <v>University of Manitoba</v>
          </cell>
          <cell r="C70">
            <v>11</v>
          </cell>
          <cell r="D70">
            <v>858</v>
          </cell>
          <cell r="E70">
            <v>2.1686929707049517E-2</v>
          </cell>
          <cell r="F70">
            <v>1146</v>
          </cell>
          <cell r="G70">
            <v>2.6987565938206479E-2</v>
          </cell>
          <cell r="H70">
            <v>1164</v>
          </cell>
          <cell r="I70">
            <v>2.715375463643362E-2</v>
          </cell>
          <cell r="J70">
            <v>1134</v>
          </cell>
          <cell r="K70">
            <v>2.5762188195738108E-2</v>
          </cell>
          <cell r="L70">
            <v>1131</v>
          </cell>
          <cell r="M70">
            <v>2.5358744394618833E-2</v>
          </cell>
          <cell r="N70">
            <v>1056</v>
          </cell>
          <cell r="O70">
            <v>1143</v>
          </cell>
        </row>
        <row r="71">
          <cell r="B71" t="str">
            <v>University of Waterloo</v>
          </cell>
          <cell r="C71">
            <v>11</v>
          </cell>
          <cell r="D71">
            <v>975</v>
          </cell>
          <cell r="E71">
            <v>2.4644238303465359E-2</v>
          </cell>
          <cell r="F71">
            <v>992</v>
          </cell>
          <cell r="G71">
            <v>2.3360964581763375E-2</v>
          </cell>
          <cell r="H71">
            <v>1023</v>
          </cell>
          <cell r="I71">
            <v>2.3864511162432642E-2</v>
          </cell>
          <cell r="J71">
            <v>1209</v>
          </cell>
          <cell r="K71">
            <v>2.746603662138216E-2</v>
          </cell>
          <cell r="L71">
            <v>1230</v>
          </cell>
          <cell r="M71">
            <v>2.757847533632287E-2</v>
          </cell>
          <cell r="N71">
            <v>996.66666666666663</v>
          </cell>
          <cell r="O71">
            <v>1154</v>
          </cell>
        </row>
        <row r="72">
          <cell r="B72" t="str">
            <v>Western University</v>
          </cell>
          <cell r="C72">
            <v>11</v>
          </cell>
          <cell r="D72">
            <v>1313</v>
          </cell>
          <cell r="E72">
            <v>3.3187574248666682E-2</v>
          </cell>
          <cell r="F72">
            <v>1318</v>
          </cell>
          <cell r="G72">
            <v>3.1038055764883197E-2</v>
          </cell>
          <cell r="H72">
            <v>1322</v>
          </cell>
          <cell r="I72">
            <v>3.0839573564746776E-2</v>
          </cell>
          <cell r="J72">
            <v>1266</v>
          </cell>
          <cell r="K72">
            <v>2.8760961424871643E-2</v>
          </cell>
          <cell r="L72">
            <v>1350</v>
          </cell>
          <cell r="M72">
            <v>3.0269058295964126E-2</v>
          </cell>
          <cell r="N72">
            <v>1317.6666666666667</v>
          </cell>
          <cell r="O72">
            <v>1312.6666666666667</v>
          </cell>
        </row>
        <row r="73">
          <cell r="B73" t="str">
            <v>University of Ottawa</v>
          </cell>
          <cell r="C73">
            <v>11</v>
          </cell>
          <cell r="D73">
            <v>1190</v>
          </cell>
          <cell r="E73">
            <v>3.0078608801152592E-2</v>
          </cell>
          <cell r="F73">
            <v>1248</v>
          </cell>
          <cell r="G73">
            <v>2.9389600602863601E-2</v>
          </cell>
          <cell r="H73">
            <v>1254</v>
          </cell>
          <cell r="I73">
            <v>2.9253271747498075E-2</v>
          </cell>
          <cell r="J73">
            <v>1272</v>
          </cell>
          <cell r="K73">
            <v>2.8897269298923167E-2</v>
          </cell>
          <cell r="L73">
            <v>1263</v>
          </cell>
          <cell r="M73">
            <v>2.8318385650224216E-2</v>
          </cell>
          <cell r="N73">
            <v>1230.6666666666667</v>
          </cell>
          <cell r="O73">
            <v>1263</v>
          </cell>
        </row>
        <row r="74">
          <cell r="B74" t="str">
            <v>York University</v>
          </cell>
          <cell r="C74">
            <v>11</v>
          </cell>
          <cell r="D74">
            <v>1449</v>
          </cell>
          <cell r="E74">
            <v>3.6625129540226981E-2</v>
          </cell>
          <cell r="F74">
            <v>1394</v>
          </cell>
          <cell r="G74">
            <v>3.2827807083647326E-2</v>
          </cell>
          <cell r="H74">
            <v>1396</v>
          </cell>
          <cell r="I74">
            <v>3.2565843189399771E-2</v>
          </cell>
          <cell r="J74">
            <v>1392</v>
          </cell>
          <cell r="K74">
            <v>3.1623426779953653E-2</v>
          </cell>
          <cell r="L74">
            <v>1389</v>
          </cell>
          <cell r="M74">
            <v>3.1143497757847534E-2</v>
          </cell>
          <cell r="N74">
            <v>1413</v>
          </cell>
          <cell r="O74">
            <v>1392.3333333333333</v>
          </cell>
        </row>
        <row r="75">
          <cell r="B75" t="str">
            <v>Université Laval</v>
          </cell>
          <cell r="C75">
            <v>11</v>
          </cell>
          <cell r="D75">
            <v>1367</v>
          </cell>
          <cell r="E75">
            <v>3.4552485908550916E-2</v>
          </cell>
          <cell r="F75">
            <v>1356</v>
          </cell>
          <cell r="G75">
            <v>3.193293142426526E-2</v>
          </cell>
          <cell r="H75">
            <v>1348</v>
          </cell>
          <cell r="I75">
            <v>3.1446100730165398E-2</v>
          </cell>
          <cell r="J75">
            <v>1410</v>
          </cell>
          <cell r="K75">
            <v>3.203235040210823E-2</v>
          </cell>
          <cell r="L75">
            <v>1386</v>
          </cell>
          <cell r="M75">
            <v>3.1076233183856501E-2</v>
          </cell>
          <cell r="N75">
            <v>1357</v>
          </cell>
          <cell r="O75">
            <v>1381.3333333333333</v>
          </cell>
        </row>
        <row r="76">
          <cell r="B76" t="str">
            <v>Université de Montréal</v>
          </cell>
          <cell r="C76">
            <v>12</v>
          </cell>
          <cell r="D76">
            <v>1499</v>
          </cell>
          <cell r="E76">
            <v>3.7888936632712381E-2</v>
          </cell>
          <cell r="F76">
            <v>1496</v>
          </cell>
          <cell r="G76">
            <v>3.5229841748304444E-2</v>
          </cell>
          <cell r="H76">
            <v>1458</v>
          </cell>
          <cell r="I76">
            <v>3.4012177199244174E-2</v>
          </cell>
          <cell r="J76">
            <v>1428</v>
          </cell>
          <cell r="K76">
            <v>3.2441274024262799E-2</v>
          </cell>
          <cell r="L76">
            <v>1434</v>
          </cell>
          <cell r="M76">
            <v>3.2152466367713003E-2</v>
          </cell>
          <cell r="N76">
            <v>1484.3333333333333</v>
          </cell>
          <cell r="O76">
            <v>1440</v>
          </cell>
        </row>
        <row r="77">
          <cell r="B77" t="str">
            <v>University of Alberta</v>
          </cell>
          <cell r="C77">
            <v>12</v>
          </cell>
          <cell r="D77">
            <v>1607</v>
          </cell>
          <cell r="E77">
            <v>4.0618759952480855E-2</v>
          </cell>
          <cell r="F77">
            <v>1655</v>
          </cell>
          <cell r="G77">
            <v>3.8974189902034662E-2</v>
          </cell>
          <cell r="H77">
            <v>1606</v>
          </cell>
          <cell r="I77">
            <v>3.7464716448550164E-2</v>
          </cell>
          <cell r="J77">
            <v>1614</v>
          </cell>
          <cell r="K77">
            <v>3.6666818119860056E-2</v>
          </cell>
          <cell r="L77">
            <v>1632</v>
          </cell>
          <cell r="M77">
            <v>3.6591928251121078E-2</v>
          </cell>
          <cell r="N77">
            <v>1622.6666666666667</v>
          </cell>
          <cell r="O77">
            <v>1617.3333333333333</v>
          </cell>
        </row>
        <row r="78">
          <cell r="B78" t="str">
            <v>University of Calgary</v>
          </cell>
          <cell r="C78">
            <v>11</v>
          </cell>
          <cell r="D78">
            <v>1685</v>
          </cell>
          <cell r="E78">
            <v>4.2590299016758079E-2</v>
          </cell>
          <cell r="F78">
            <v>1730</v>
          </cell>
          <cell r="G78">
            <v>4.0740391861341374E-2</v>
          </cell>
          <cell r="H78">
            <v>1677</v>
          </cell>
          <cell r="I78">
            <v>3.9121002169501012E-2</v>
          </cell>
          <cell r="J78">
            <v>1788</v>
          </cell>
          <cell r="K78">
            <v>4.0619746467354265E-2</v>
          </cell>
          <cell r="L78">
            <v>1836</v>
          </cell>
          <cell r="M78">
            <v>4.1165919282511211E-2</v>
          </cell>
          <cell r="N78">
            <v>1697.3333333333333</v>
          </cell>
          <cell r="O78">
            <v>1767</v>
          </cell>
        </row>
        <row r="79">
          <cell r="B79" t="str">
            <v>McGill University</v>
          </cell>
          <cell r="C79">
            <v>12</v>
          </cell>
          <cell r="D79">
            <v>1732</v>
          </cell>
          <cell r="E79">
            <v>4.3778277683694362E-2</v>
          </cell>
          <cell r="F79">
            <v>1721</v>
          </cell>
          <cell r="G79">
            <v>4.0528447626224567E-2</v>
          </cell>
          <cell r="H79">
            <v>1695</v>
          </cell>
          <cell r="I79">
            <v>3.9540905591713908E-2</v>
          </cell>
          <cell r="J79">
            <v>1836</v>
          </cell>
          <cell r="K79">
            <v>4.1710209459766459E-2</v>
          </cell>
          <cell r="L79">
            <v>1866</v>
          </cell>
          <cell r="M79">
            <v>4.1838565022421524E-2</v>
          </cell>
          <cell r="N79">
            <v>1716</v>
          </cell>
          <cell r="O79">
            <v>1799</v>
          </cell>
        </row>
        <row r="80">
          <cell r="B80" t="str">
            <v>University of Toronto</v>
          </cell>
          <cell r="C80">
            <v>13</v>
          </cell>
          <cell r="D80">
            <v>2663</v>
          </cell>
          <cell r="E80">
            <v>6.7310365745772566E-2</v>
          </cell>
          <cell r="F80">
            <v>2674</v>
          </cell>
          <cell r="G80">
            <v>6.2970987189148453E-2</v>
          </cell>
          <cell r="H80">
            <v>2698</v>
          </cell>
          <cell r="I80">
            <v>6.2938857396132225E-2</v>
          </cell>
          <cell r="J80">
            <v>2643</v>
          </cell>
          <cell r="K80">
            <v>6.0043618519696487E-2</v>
          </cell>
          <cell r="L80">
            <v>2712</v>
          </cell>
          <cell r="M80">
            <v>6.0807174887892376E-2</v>
          </cell>
          <cell r="N80">
            <v>2678.3333333333335</v>
          </cell>
          <cell r="O80">
            <v>2684.3333333333335</v>
          </cell>
        </row>
        <row r="81">
          <cell r="B81" t="str">
            <v>University of British Columbia</v>
          </cell>
          <cell r="C81">
            <v>12</v>
          </cell>
          <cell r="D81">
            <v>2457</v>
          </cell>
          <cell r="E81">
            <v>6.2103480524732704E-2</v>
          </cell>
          <cell r="F81">
            <v>2572</v>
          </cell>
          <cell r="G81">
            <v>6.0568952524491335E-2</v>
          </cell>
          <cell r="H81">
            <v>2630</v>
          </cell>
          <cell r="I81">
            <v>6.1352555578883521E-2</v>
          </cell>
          <cell r="J81">
            <v>2781</v>
          </cell>
          <cell r="K81">
            <v>6.3178699622881543E-2</v>
          </cell>
          <cell r="L81">
            <v>2778</v>
          </cell>
          <cell r="M81">
            <v>6.2286995515695068E-2</v>
          </cell>
          <cell r="N81">
            <v>2553</v>
          </cell>
          <cell r="O81">
            <v>2729.6666666666665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E330-EA7F-4035-91A8-FB975612D24D}">
  <sheetPr>
    <pageSetUpPr fitToPage="1"/>
  </sheetPr>
  <dimension ref="A1:U171"/>
  <sheetViews>
    <sheetView tabSelected="1" zoomScale="85" zoomScaleNormal="85" workbookViewId="0">
      <pane xSplit="2" ySplit="21" topLeftCell="C94" activePane="bottomRight" state="frozen"/>
      <selection activeCell="M1" sqref="M1:AC67"/>
      <selection pane="topRight" activeCell="M1" sqref="M1:AC67"/>
      <selection pane="bottomLeft" activeCell="M1" sqref="M1:AC67"/>
      <selection pane="bottomRight" activeCell="R100" sqref="R100"/>
    </sheetView>
  </sheetViews>
  <sheetFormatPr defaultColWidth="9.140625" defaultRowHeight="12.75" x14ac:dyDescent="0.2"/>
  <cols>
    <col min="1" max="1" width="9.140625" style="2" customWidth="1"/>
    <col min="2" max="2" width="40.85546875" style="2" customWidth="1"/>
    <col min="3" max="3" width="13.85546875" style="2" bestFit="1" customWidth="1"/>
    <col min="4" max="4" width="12.5703125" style="2" customWidth="1"/>
    <col min="5" max="5" width="12.5703125" style="73" hidden="1" customWidth="1"/>
    <col min="6" max="8" width="12.5703125" style="2" hidden="1" customWidth="1"/>
    <col min="9" max="12" width="12.5703125" style="2" customWidth="1"/>
    <col min="13" max="13" width="8.85546875" style="4" customWidth="1"/>
    <col min="14" max="16384" width="9.140625" style="2"/>
  </cols>
  <sheetData>
    <row r="1" spans="2:13" ht="15" customHeight="1" x14ac:dyDescent="0.25">
      <c r="B1" s="1" t="s">
        <v>0</v>
      </c>
      <c r="E1" s="90"/>
      <c r="F1" s="90"/>
      <c r="G1" s="90"/>
      <c r="H1" s="90"/>
      <c r="I1" s="90"/>
      <c r="J1" s="3"/>
      <c r="K1" s="3"/>
      <c r="L1" s="3"/>
    </row>
    <row r="2" spans="2:13" ht="15" customHeight="1" x14ac:dyDescent="0.25">
      <c r="B2" s="6"/>
      <c r="E2" s="3"/>
      <c r="F2" s="3"/>
      <c r="G2" s="3"/>
      <c r="H2" s="3"/>
      <c r="I2" s="3"/>
      <c r="J2" s="3"/>
      <c r="K2" s="3"/>
      <c r="L2" s="3"/>
    </row>
    <row r="3" spans="2:13" ht="31.5" customHeight="1" thickBot="1" x14ac:dyDescent="0.25">
      <c r="B3" s="7" t="s">
        <v>1</v>
      </c>
      <c r="E3" s="3"/>
      <c r="F3" s="3"/>
      <c r="G3" s="3"/>
      <c r="H3" s="3"/>
      <c r="I3" s="3"/>
      <c r="J3" s="3"/>
      <c r="K3" s="3"/>
      <c r="L3" s="3"/>
    </row>
    <row r="4" spans="2:13" ht="13.5" customHeight="1" x14ac:dyDescent="0.2">
      <c r="B4" s="8"/>
      <c r="C4" s="91" t="s">
        <v>2</v>
      </c>
      <c r="D4" s="92"/>
      <c r="E4" s="95" t="s">
        <v>3</v>
      </c>
      <c r="F4" s="96"/>
      <c r="G4" s="99" t="s">
        <v>4</v>
      </c>
      <c r="H4" s="95"/>
      <c r="I4" s="101" t="s">
        <v>5</v>
      </c>
      <c r="J4" s="102"/>
      <c r="K4" s="105" t="s">
        <v>6</v>
      </c>
      <c r="L4" s="92"/>
      <c r="M4" s="88" t="s">
        <v>7</v>
      </c>
    </row>
    <row r="5" spans="2:13" ht="15.6" customHeight="1" x14ac:dyDescent="0.2">
      <c r="B5" s="9"/>
      <c r="C5" s="93"/>
      <c r="D5" s="94"/>
      <c r="E5" s="97"/>
      <c r="F5" s="98"/>
      <c r="G5" s="100"/>
      <c r="H5" s="97"/>
      <c r="I5" s="103"/>
      <c r="J5" s="104"/>
      <c r="K5" s="106"/>
      <c r="L5" s="94"/>
      <c r="M5" s="89"/>
    </row>
    <row r="6" spans="2:13" ht="15.6" customHeight="1" x14ac:dyDescent="0.2">
      <c r="B6" s="10" t="s">
        <v>8</v>
      </c>
      <c r="C6" s="93"/>
      <c r="D6" s="94"/>
      <c r="E6" s="97"/>
      <c r="F6" s="98"/>
      <c r="G6" s="100"/>
      <c r="H6" s="97"/>
      <c r="I6" s="103"/>
      <c r="J6" s="104"/>
      <c r="K6" s="106"/>
      <c r="L6" s="94"/>
      <c r="M6" s="89"/>
    </row>
    <row r="7" spans="2:13" ht="15.6" customHeight="1" x14ac:dyDescent="0.2">
      <c r="B7" s="10"/>
      <c r="C7" s="11" t="s">
        <v>9</v>
      </c>
      <c r="D7" s="12" t="s">
        <v>10</v>
      </c>
      <c r="E7" s="13"/>
      <c r="F7" s="14"/>
      <c r="G7" s="15"/>
      <c r="H7" s="13"/>
      <c r="I7" s="16" t="s">
        <v>9</v>
      </c>
      <c r="J7" s="12" t="s">
        <v>10</v>
      </c>
      <c r="K7" s="17" t="s">
        <v>9</v>
      </c>
      <c r="L7" s="12" t="s">
        <v>10</v>
      </c>
      <c r="M7" s="89"/>
    </row>
    <row r="8" spans="2:13" ht="15.6" customHeight="1" x14ac:dyDescent="0.2">
      <c r="B8" s="10"/>
      <c r="C8" s="18">
        <f t="shared" ref="C8:C18" si="0">ROUND((C$101*(C$103^(ROW()-6.5))),2)</f>
        <v>305.8</v>
      </c>
      <c r="D8" s="19">
        <f t="shared" ref="D8:D20" si="1">ROUND(IF(0.5+LOG(C8/C$101,C$103)&lt;1,1,0.5+LOG(C8/C$101,C$103)),4)</f>
        <v>2</v>
      </c>
      <c r="E8" s="13"/>
      <c r="F8" s="14"/>
      <c r="G8" s="15"/>
      <c r="H8" s="13"/>
      <c r="I8" s="18">
        <f t="shared" ref="I8:I18" si="2">ROUND((I$101*(I$103^(ROW()-6.5))),2)</f>
        <v>805.69</v>
      </c>
      <c r="J8" s="20">
        <f t="shared" ref="J8:J20" si="3">ROUND(IF(0.5+LOG(I8/I$101,I$103)&lt;1,1,0.5+LOG(I8/I$101,I$103)),4)</f>
        <v>2</v>
      </c>
      <c r="K8" s="21">
        <f t="shared" ref="K8:K18" si="4">ROUND((K$101*(K$103^(ROW()-6.5))),3)</f>
        <v>67.988</v>
      </c>
      <c r="L8" s="20">
        <f t="shared" ref="L8:L20" si="5">ROUND(IF(0.5+LOG(K8/K$101,K$103)&lt;1,1,0.5+LOG(K8/K$101,K$103)),4)</f>
        <v>2</v>
      </c>
      <c r="M8" s="89"/>
    </row>
    <row r="9" spans="2:13" s="23" customFormat="1" ht="15.6" customHeight="1" x14ac:dyDescent="0.2">
      <c r="B9" s="22"/>
      <c r="C9" s="18">
        <f t="shared" si="0"/>
        <v>621.04999999999995</v>
      </c>
      <c r="D9" s="19">
        <f t="shared" si="1"/>
        <v>3</v>
      </c>
      <c r="E9" s="13"/>
      <c r="F9" s="14"/>
      <c r="G9" s="15"/>
      <c r="H9" s="13"/>
      <c r="I9" s="18">
        <f t="shared" si="2"/>
        <v>1232.05</v>
      </c>
      <c r="J9" s="20">
        <f t="shared" si="3"/>
        <v>3</v>
      </c>
      <c r="K9" s="21">
        <f t="shared" si="4"/>
        <v>94.77</v>
      </c>
      <c r="L9" s="20">
        <f t="shared" si="5"/>
        <v>3</v>
      </c>
      <c r="M9" s="89"/>
    </row>
    <row r="10" spans="2:13" s="23" customFormat="1" ht="15.6" customHeight="1" x14ac:dyDescent="0.2">
      <c r="B10" s="22"/>
      <c r="C10" s="18">
        <f t="shared" si="0"/>
        <v>1261.3</v>
      </c>
      <c r="D10" s="19">
        <f t="shared" si="1"/>
        <v>4</v>
      </c>
      <c r="E10" s="13"/>
      <c r="F10" s="14"/>
      <c r="G10" s="15"/>
      <c r="H10" s="13"/>
      <c r="I10" s="18">
        <f t="shared" si="2"/>
        <v>1884.01</v>
      </c>
      <c r="J10" s="20">
        <f t="shared" si="3"/>
        <v>4</v>
      </c>
      <c r="K10" s="21">
        <f t="shared" si="4"/>
        <v>132.101</v>
      </c>
      <c r="L10" s="20">
        <f t="shared" si="5"/>
        <v>4</v>
      </c>
      <c r="M10" s="89"/>
    </row>
    <row r="11" spans="2:13" s="23" customFormat="1" ht="15.6" customHeight="1" x14ac:dyDescent="0.2">
      <c r="B11" s="22"/>
      <c r="C11" s="18">
        <f t="shared" si="0"/>
        <v>2561.6</v>
      </c>
      <c r="D11" s="19">
        <f t="shared" si="1"/>
        <v>5</v>
      </c>
      <c r="E11" s="13"/>
      <c r="F11" s="14"/>
      <c r="G11" s="15"/>
      <c r="H11" s="13"/>
      <c r="I11" s="18">
        <f t="shared" si="2"/>
        <v>2880.98</v>
      </c>
      <c r="J11" s="20">
        <f t="shared" si="3"/>
        <v>5</v>
      </c>
      <c r="K11" s="21">
        <f t="shared" si="4"/>
        <v>184.137</v>
      </c>
      <c r="L11" s="20">
        <f t="shared" si="5"/>
        <v>5</v>
      </c>
      <c r="M11" s="89"/>
    </row>
    <row r="12" spans="2:13" s="23" customFormat="1" ht="15.6" customHeight="1" x14ac:dyDescent="0.2">
      <c r="B12" s="22"/>
      <c r="C12" s="18">
        <f t="shared" si="0"/>
        <v>5202.3999999999996</v>
      </c>
      <c r="D12" s="19">
        <f t="shared" si="1"/>
        <v>6</v>
      </c>
      <c r="E12" s="13"/>
      <c r="F12" s="14"/>
      <c r="G12" s="15"/>
      <c r="H12" s="13"/>
      <c r="I12" s="18">
        <f t="shared" si="2"/>
        <v>4405.5200000000004</v>
      </c>
      <c r="J12" s="20">
        <f t="shared" si="3"/>
        <v>6</v>
      </c>
      <c r="K12" s="21">
        <f t="shared" si="4"/>
        <v>256.67</v>
      </c>
      <c r="L12" s="20">
        <f t="shared" si="5"/>
        <v>6</v>
      </c>
      <c r="M12" s="89"/>
    </row>
    <row r="13" spans="2:13" s="23" customFormat="1" ht="15.6" customHeight="1" x14ac:dyDescent="0.2">
      <c r="B13" s="22"/>
      <c r="C13" s="18">
        <f t="shared" si="0"/>
        <v>10565.64</v>
      </c>
      <c r="D13" s="19">
        <f t="shared" si="1"/>
        <v>7</v>
      </c>
      <c r="E13" s="13"/>
      <c r="F13" s="14"/>
      <c r="G13" s="15"/>
      <c r="H13" s="13"/>
      <c r="I13" s="18">
        <f t="shared" si="2"/>
        <v>6736.81</v>
      </c>
      <c r="J13" s="20">
        <f t="shared" si="3"/>
        <v>7</v>
      </c>
      <c r="K13" s="21">
        <f t="shared" si="4"/>
        <v>357.77600000000001</v>
      </c>
      <c r="L13" s="20">
        <f t="shared" si="5"/>
        <v>7</v>
      </c>
      <c r="M13" s="89"/>
    </row>
    <row r="14" spans="2:13" s="23" customFormat="1" ht="15.6" customHeight="1" x14ac:dyDescent="0.2">
      <c r="B14" s="22"/>
      <c r="C14" s="18">
        <f t="shared" si="0"/>
        <v>21457.95</v>
      </c>
      <c r="D14" s="19">
        <f t="shared" si="1"/>
        <v>8</v>
      </c>
      <c r="E14" s="13"/>
      <c r="F14" s="14"/>
      <c r="G14" s="15"/>
      <c r="H14" s="13"/>
      <c r="I14" s="18">
        <f t="shared" si="2"/>
        <v>10301.76</v>
      </c>
      <c r="J14" s="20">
        <f t="shared" si="3"/>
        <v>8</v>
      </c>
      <c r="K14" s="21">
        <f t="shared" si="4"/>
        <v>498.70800000000003</v>
      </c>
      <c r="L14" s="20">
        <f t="shared" si="5"/>
        <v>8</v>
      </c>
      <c r="M14" s="89"/>
    </row>
    <row r="15" spans="2:13" ht="15.6" customHeight="1" x14ac:dyDescent="0.2">
      <c r="B15" s="10"/>
      <c r="C15" s="18">
        <f t="shared" si="0"/>
        <v>43579.32</v>
      </c>
      <c r="D15" s="19">
        <f t="shared" si="1"/>
        <v>9</v>
      </c>
      <c r="E15" s="13"/>
      <c r="F15" s="14"/>
      <c r="G15" s="15"/>
      <c r="H15" s="13"/>
      <c r="I15" s="18">
        <f t="shared" si="2"/>
        <v>15753.18</v>
      </c>
      <c r="J15" s="20">
        <f t="shared" si="3"/>
        <v>9</v>
      </c>
      <c r="K15" s="21">
        <f t="shared" si="4"/>
        <v>695.15599999999995</v>
      </c>
      <c r="L15" s="20">
        <f t="shared" si="5"/>
        <v>9</v>
      </c>
      <c r="M15" s="89"/>
    </row>
    <row r="16" spans="2:13" ht="15.6" customHeight="1" x14ac:dyDescent="0.2">
      <c r="B16" s="10"/>
      <c r="C16" s="18">
        <f t="shared" si="0"/>
        <v>88506.01</v>
      </c>
      <c r="D16" s="19">
        <f t="shared" si="1"/>
        <v>10</v>
      </c>
      <c r="E16" s="13"/>
      <c r="F16" s="14"/>
      <c r="G16" s="15"/>
      <c r="H16" s="13"/>
      <c r="I16" s="18">
        <f t="shared" si="2"/>
        <v>24089.360000000001</v>
      </c>
      <c r="J16" s="20">
        <f t="shared" si="3"/>
        <v>10</v>
      </c>
      <c r="K16" s="21">
        <f t="shared" si="4"/>
        <v>968.98599999999999</v>
      </c>
      <c r="L16" s="20">
        <f t="shared" si="5"/>
        <v>10</v>
      </c>
      <c r="M16" s="89"/>
    </row>
    <row r="17" spans="1:13" ht="15.6" customHeight="1" x14ac:dyDescent="0.2">
      <c r="B17" s="10"/>
      <c r="C17" s="18">
        <f t="shared" si="0"/>
        <v>179748.42</v>
      </c>
      <c r="D17" s="19">
        <f t="shared" si="1"/>
        <v>11</v>
      </c>
      <c r="E17" s="13"/>
      <c r="F17" s="14"/>
      <c r="G17" s="15"/>
      <c r="H17" s="13"/>
      <c r="I17" s="18">
        <f t="shared" si="2"/>
        <v>36836.83</v>
      </c>
      <c r="J17" s="20">
        <f t="shared" si="3"/>
        <v>11</v>
      </c>
      <c r="K17" s="21">
        <f t="shared" si="4"/>
        <v>1350.682</v>
      </c>
      <c r="L17" s="20">
        <f t="shared" si="5"/>
        <v>11</v>
      </c>
      <c r="M17" s="89"/>
    </row>
    <row r="18" spans="1:13" ht="12.75" customHeight="1" x14ac:dyDescent="0.2">
      <c r="A18" s="24"/>
      <c r="B18" s="86"/>
      <c r="C18" s="18">
        <f t="shared" si="0"/>
        <v>365054.23</v>
      </c>
      <c r="D18" s="19">
        <f t="shared" si="1"/>
        <v>12</v>
      </c>
      <c r="E18" s="13"/>
      <c r="F18" s="14"/>
      <c r="G18" s="15"/>
      <c r="H18" s="13"/>
      <c r="I18" s="18">
        <f t="shared" si="2"/>
        <v>56329.919999999998</v>
      </c>
      <c r="J18" s="20">
        <f t="shared" si="3"/>
        <v>12</v>
      </c>
      <c r="K18" s="21">
        <f t="shared" si="4"/>
        <v>1882.732</v>
      </c>
      <c r="L18" s="20">
        <f t="shared" si="5"/>
        <v>12</v>
      </c>
      <c r="M18" s="89"/>
    </row>
    <row r="19" spans="1:13" ht="12.75" customHeight="1" x14ac:dyDescent="0.2">
      <c r="A19" s="24"/>
      <c r="B19" s="86"/>
      <c r="C19" s="18">
        <f>ROUND((C$101*(C$103^(ROW()-6.5))),2)</f>
        <v>741395.07</v>
      </c>
      <c r="D19" s="19">
        <f t="shared" si="1"/>
        <v>13</v>
      </c>
      <c r="E19" s="13"/>
      <c r="F19" s="14"/>
      <c r="G19" s="15"/>
      <c r="H19" s="13"/>
      <c r="I19" s="18">
        <f>ROUND((I$101*(I$103^(ROW()-6.5))),2)</f>
        <v>86138.25</v>
      </c>
      <c r="J19" s="20">
        <f t="shared" si="3"/>
        <v>13</v>
      </c>
      <c r="K19" s="21">
        <f>ROUND((K$101*(K$103^(ROW()-6.5))),3)</f>
        <v>2624.364</v>
      </c>
      <c r="L19" s="20">
        <f t="shared" si="5"/>
        <v>13</v>
      </c>
      <c r="M19" s="89"/>
    </row>
    <row r="20" spans="1:13" ht="12.75" customHeight="1" x14ac:dyDescent="0.2">
      <c r="A20" s="24"/>
      <c r="B20" s="86"/>
      <c r="C20" s="18">
        <f>ROUND((C$101*(C$103^(ROW()-6.5))),2)</f>
        <v>1505712.31</v>
      </c>
      <c r="D20" s="19">
        <f t="shared" si="1"/>
        <v>14</v>
      </c>
      <c r="E20" s="13"/>
      <c r="F20" s="14"/>
      <c r="G20" s="15"/>
      <c r="H20" s="13"/>
      <c r="I20" s="18">
        <f>ROUND((I$101*(I$103^(ROW()-6.5))),2)</f>
        <v>131720.38</v>
      </c>
      <c r="J20" s="20">
        <f t="shared" si="3"/>
        <v>14</v>
      </c>
      <c r="K20" s="21">
        <f>ROUND((K$101*(K$103^(ROW()-6.5))),3)</f>
        <v>3658.1329999999998</v>
      </c>
      <c r="L20" s="20">
        <f t="shared" si="5"/>
        <v>14</v>
      </c>
      <c r="M20" s="89"/>
    </row>
    <row r="21" spans="1:13" ht="13.5" customHeight="1" thickBot="1" x14ac:dyDescent="0.25">
      <c r="B21" s="87"/>
      <c r="C21" s="25" t="s">
        <v>11</v>
      </c>
      <c r="D21" s="26" t="s">
        <v>10</v>
      </c>
      <c r="E21" s="27"/>
      <c r="F21" s="28" t="s">
        <v>12</v>
      </c>
      <c r="G21" s="29"/>
      <c r="H21" s="30" t="s">
        <v>12</v>
      </c>
      <c r="I21" s="31"/>
      <c r="J21" s="26" t="s">
        <v>10</v>
      </c>
      <c r="K21" s="32"/>
      <c r="L21" s="26" t="s">
        <v>10</v>
      </c>
      <c r="M21" s="89"/>
    </row>
    <row r="22" spans="1:13" ht="13.35" customHeight="1" x14ac:dyDescent="0.2">
      <c r="A22" s="33"/>
      <c r="B22" s="34" t="s">
        <v>13</v>
      </c>
      <c r="C22" s="35">
        <f>VLOOKUP(B22,[3]SponsoredResearch!$B$7:$Q$81,16,FALSE)</f>
        <v>339</v>
      </c>
      <c r="D22" s="36">
        <f t="shared" ref="D22:D85" si="6">ROUND(IF(0.5+LOG(C22/C$101,C$103)&lt;1,1,0.5+LOG(C22/C$101,C$103)),4)</f>
        <v>2.1455000000000002</v>
      </c>
      <c r="E22" s="37">
        <f>390+(40/3.5)</f>
        <v>401.42857142857144</v>
      </c>
      <c r="F22" s="38">
        <f t="shared" ref="F22:F85" si="7">E22/E$98</f>
        <v>4.5610352543677999E-4</v>
      </c>
      <c r="G22" s="39">
        <v>0</v>
      </c>
      <c r="H22" s="38">
        <f t="shared" ref="H22:H85" si="8">G22/G$98</f>
        <v>0</v>
      </c>
      <c r="I22" s="39">
        <f>SUMIF('[3]AUCC fall enrolment data'!$A$3:$A$90,B22,'[3]AUCC fall enrolment data'!$AS$3:$AS$90)</f>
        <v>423.80952380952385</v>
      </c>
      <c r="J22" s="36">
        <f t="shared" ref="J22:J85" si="9">ROUND(IF(0.5+LOG(I22/I$101,I$103)&lt;1,1,0.5+LOG(I22/I$101,I$103)),4)</f>
        <v>1</v>
      </c>
      <c r="K22" s="39">
        <f>VLOOKUP(B22,[3]Faculty!$B$7:$O$81,14,FALSE)</f>
        <v>40</v>
      </c>
      <c r="L22" s="40">
        <f t="shared" ref="L22:L85" si="10">ROUND(IF(0.5+LOG(K22/K$101,K$103)&lt;1,1,0.5+LOG(K22/K$101,K$103)),4)</f>
        <v>1</v>
      </c>
      <c r="M22" s="41">
        <f t="shared" ref="M22:M85" si="11">ROUND((D22+J22+L22)/3,0)</f>
        <v>1</v>
      </c>
    </row>
    <row r="23" spans="1:13" ht="13.35" customHeight="1" x14ac:dyDescent="0.2">
      <c r="A23" s="33"/>
      <c r="B23" s="34" t="s">
        <v>14</v>
      </c>
      <c r="C23" s="35">
        <f>VLOOKUP(B23,[3]SponsoredResearch!$B$7:$Q$81,16,FALSE)</f>
        <v>254</v>
      </c>
      <c r="D23" s="36">
        <f t="shared" si="6"/>
        <v>1.738</v>
      </c>
      <c r="E23" s="37">
        <f>630+(40/3.5)</f>
        <v>641.42857142857144</v>
      </c>
      <c r="F23" s="38">
        <f t="shared" si="7"/>
        <v>7.2879175416766626E-4</v>
      </c>
      <c r="G23" s="39">
        <v>0</v>
      </c>
      <c r="H23" s="38">
        <f t="shared" si="8"/>
        <v>0</v>
      </c>
      <c r="I23" s="39">
        <f>SUMIF('[3]AUCC fall enrolment data'!$A$3:$A$90,B23,'[3]AUCC fall enrolment data'!$AS$3:$AS$90)</f>
        <v>777.61904761904771</v>
      </c>
      <c r="J23" s="36">
        <f t="shared" si="9"/>
        <v>1.9165000000000001</v>
      </c>
      <c r="K23" s="39">
        <f>VLOOKUP(B23,[3]Faculty!$B$7:$O$81,14,FALSE)</f>
        <v>46</v>
      </c>
      <c r="L23" s="40">
        <f t="shared" si="10"/>
        <v>1</v>
      </c>
      <c r="M23" s="42">
        <f t="shared" si="11"/>
        <v>2</v>
      </c>
    </row>
    <row r="24" spans="1:13" ht="13.35" customHeight="1" x14ac:dyDescent="0.2">
      <c r="A24" s="33"/>
      <c r="B24" s="34" t="s">
        <v>15</v>
      </c>
      <c r="C24" s="35">
        <f>VLOOKUP(B24,[3]SponsoredResearch!$B$7:$Q$81,16,FALSE)</f>
        <v>425</v>
      </c>
      <c r="D24" s="36">
        <f t="shared" si="6"/>
        <v>2.4645999999999999</v>
      </c>
      <c r="E24" s="37">
        <f>(790)+(190/3.5)</f>
        <v>844.28571428571433</v>
      </c>
      <c r="F24" s="38">
        <f t="shared" si="7"/>
        <v>9.5927823321401064E-4</v>
      </c>
      <c r="G24" s="39">
        <v>30</v>
      </c>
      <c r="H24" s="38">
        <f t="shared" si="8"/>
        <v>1.9100476693325474E-4</v>
      </c>
      <c r="I24" s="39">
        <f>SUMIF('[3]AUCC fall enrolment data'!$A$3:$A$90,B24,'[3]AUCC fall enrolment data'!$AS$3:$AS$90)</f>
        <v>735.2380952380953</v>
      </c>
      <c r="J24" s="36">
        <f t="shared" si="9"/>
        <v>1.7845</v>
      </c>
      <c r="K24" s="39">
        <f>VLOOKUP(B24,[3]Faculty!$B$7:$O$81,14,FALSE)</f>
        <v>46</v>
      </c>
      <c r="L24" s="40">
        <f t="shared" si="10"/>
        <v>1</v>
      </c>
      <c r="M24" s="42">
        <f t="shared" si="11"/>
        <v>2</v>
      </c>
    </row>
    <row r="25" spans="1:13" ht="13.35" customHeight="1" x14ac:dyDescent="0.2">
      <c r="A25" s="33"/>
      <c r="B25" s="34" t="s">
        <v>16</v>
      </c>
      <c r="C25" s="35">
        <f>VLOOKUP(B25,[3]SponsoredResearch!$B$7:$Q$81,16,FALSE)</f>
        <v>126</v>
      </c>
      <c r="D25" s="36">
        <f t="shared" si="6"/>
        <v>1</v>
      </c>
      <c r="E25" s="37">
        <f>(1270)+((130)/3.5)</f>
        <v>1307.1428571428571</v>
      </c>
      <c r="F25" s="38">
        <f t="shared" si="7"/>
        <v>1.4851769600521484E-3</v>
      </c>
      <c r="G25" s="39">
        <f>30+(30/3.5)</f>
        <v>38.571428571428569</v>
      </c>
      <c r="H25" s="38">
        <f t="shared" si="8"/>
        <v>2.455775574856132E-4</v>
      </c>
      <c r="I25" s="39">
        <f>SUMIF('[3]AUCC fall enrolment data'!$A$3:$A$90,B25,'[3]AUCC fall enrolment data'!$AS$3:$AS$90)</f>
        <v>2015.2380952380954</v>
      </c>
      <c r="J25" s="36">
        <f t="shared" si="9"/>
        <v>4.1585000000000001</v>
      </c>
      <c r="K25" s="39">
        <f>VLOOKUP(B25,[3]Faculty!$B$7:$O$81,14,FALSE)</f>
        <v>59</v>
      </c>
      <c r="L25" s="40">
        <f t="shared" si="10"/>
        <v>1.573</v>
      </c>
      <c r="M25" s="42">
        <f t="shared" si="11"/>
        <v>2</v>
      </c>
    </row>
    <row r="26" spans="1:13" ht="13.35" customHeight="1" x14ac:dyDescent="0.2">
      <c r="B26" s="43" t="s">
        <v>17</v>
      </c>
      <c r="C26" s="107">
        <f>VLOOKUP(B26,[3]SponsoredResearch!$B$7:$Q$81,16,FALSE)</f>
        <v>949</v>
      </c>
      <c r="D26" s="108">
        <f t="shared" si="6"/>
        <v>3.5985</v>
      </c>
      <c r="E26" s="50">
        <f>900+(350/3.5)</f>
        <v>1000</v>
      </c>
      <c r="F26" s="51">
        <f t="shared" si="7"/>
        <v>1.1362009530453594E-3</v>
      </c>
      <c r="G26" s="52">
        <v>0</v>
      </c>
      <c r="H26" s="51">
        <f t="shared" si="8"/>
        <v>0</v>
      </c>
      <c r="I26" s="52">
        <f>SUMIF('[3]AUCC fall enrolment data'!$A$3:$A$90,B26,'[3]AUCC fall enrolment data'!$AS$3:$AS$90)</f>
        <v>1086.6666666666667</v>
      </c>
      <c r="J26" s="108">
        <f t="shared" si="9"/>
        <v>2.7044000000000001</v>
      </c>
      <c r="K26" s="52">
        <f>VLOOKUP(B26,[3]Faculty!$B$7:$O$81,14,FALSE)</f>
        <v>43</v>
      </c>
      <c r="L26" s="109">
        <f t="shared" si="10"/>
        <v>1</v>
      </c>
      <c r="M26" s="110">
        <f t="shared" si="11"/>
        <v>2</v>
      </c>
    </row>
    <row r="27" spans="1:13" x14ac:dyDescent="0.2">
      <c r="A27" s="33"/>
      <c r="B27" s="44" t="s">
        <v>18</v>
      </c>
      <c r="C27" s="35">
        <f>VLOOKUP(B27,[3]SponsoredResearch!$B$7:$Q$81,16,FALSE)</f>
        <v>4143</v>
      </c>
      <c r="D27" s="36">
        <f t="shared" si="6"/>
        <v>5.6786000000000003</v>
      </c>
      <c r="E27" s="37">
        <v>0</v>
      </c>
      <c r="F27" s="38">
        <f t="shared" si="7"/>
        <v>0</v>
      </c>
      <c r="G27" s="39">
        <f>460+(1520/3.5)</f>
        <v>894.28571428571422</v>
      </c>
      <c r="H27" s="38">
        <f t="shared" si="8"/>
        <v>5.6937611476294029E-3</v>
      </c>
      <c r="I27" s="39">
        <f>SUMIF('[3]AUCC fall enrolment data'!$A$3:$A$90,B27,'[3]AUCC fall enrolment data'!$AS$3:$AS$90)</f>
        <v>700.47619047619048</v>
      </c>
      <c r="J27" s="36">
        <f t="shared" si="9"/>
        <v>1.6705000000000001</v>
      </c>
      <c r="K27" s="39">
        <f>VLOOKUP(B27,[3]Faculty!$B$7:$O$81,14,FALSE)</f>
        <v>43</v>
      </c>
      <c r="L27" s="40">
        <f t="shared" si="10"/>
        <v>1</v>
      </c>
      <c r="M27" s="42">
        <f t="shared" si="11"/>
        <v>3</v>
      </c>
    </row>
    <row r="28" spans="1:13" x14ac:dyDescent="0.2">
      <c r="A28" s="33"/>
      <c r="B28" s="34" t="s">
        <v>19</v>
      </c>
      <c r="C28" s="35">
        <f>VLOOKUP(B28,[3]SponsoredResearch!$B$7:$Q$81,16,FALSE)</f>
        <v>1867</v>
      </c>
      <c r="D28" s="36">
        <f t="shared" si="6"/>
        <v>4.5536000000000003</v>
      </c>
      <c r="E28" s="37">
        <f>1170</f>
        <v>1170</v>
      </c>
      <c r="F28" s="38">
        <f t="shared" si="7"/>
        <v>1.3293551150630706E-3</v>
      </c>
      <c r="G28" s="39">
        <v>3500</v>
      </c>
      <c r="H28" s="38">
        <f t="shared" si="8"/>
        <v>2.2283889475546385E-2</v>
      </c>
      <c r="I28" s="39">
        <f>SUMIF('[3]AUCC fall enrolment data'!$A$3:$A$90,B28,'[3]AUCC fall enrolment data'!$AS$3:$AS$90)</f>
        <v>4280</v>
      </c>
      <c r="J28" s="36">
        <f t="shared" si="9"/>
        <v>5.9318999999999997</v>
      </c>
      <c r="K28" s="39">
        <f>VLOOKUP(B28,[3]Faculty!$B$7:$O$81,14,FALSE)</f>
        <v>52</v>
      </c>
      <c r="L28" s="40">
        <f t="shared" si="10"/>
        <v>1.1928000000000001</v>
      </c>
      <c r="M28" s="42">
        <f t="shared" si="11"/>
        <v>4</v>
      </c>
    </row>
    <row r="29" spans="1:13" x14ac:dyDescent="0.2">
      <c r="A29" s="33"/>
      <c r="B29" s="34" t="s">
        <v>20</v>
      </c>
      <c r="C29" s="35">
        <f>VLOOKUP(B29,[3]SponsoredResearch!$B$7:$Q$81,16,FALSE)</f>
        <v>3078</v>
      </c>
      <c r="D29" s="36">
        <f t="shared" si="6"/>
        <v>5.2591999999999999</v>
      </c>
      <c r="E29" s="37">
        <f>18000/3.5</f>
        <v>5142.8571428571431</v>
      </c>
      <c r="F29" s="38">
        <f t="shared" si="7"/>
        <v>5.84331918709042E-3</v>
      </c>
      <c r="G29" s="39">
        <v>0</v>
      </c>
      <c r="H29" s="38">
        <f t="shared" si="8"/>
        <v>0</v>
      </c>
      <c r="I29" s="39">
        <f>SUMIF('[3]AUCC fall enrolment data'!$A$3:$A$90,B29,'[3]AUCC fall enrolment data'!$AS$3:$AS$90)</f>
        <v>1352.3333333333333</v>
      </c>
      <c r="J29" s="36">
        <f t="shared" si="9"/>
        <v>3.2193000000000001</v>
      </c>
      <c r="K29" s="39">
        <f>VLOOKUP(B29,[3]Faculty!$B$7:$O$81,14,FALSE)</f>
        <v>71</v>
      </c>
      <c r="L29" s="40">
        <f t="shared" si="10"/>
        <v>2.1305000000000001</v>
      </c>
      <c r="M29" s="42">
        <f t="shared" si="11"/>
        <v>4</v>
      </c>
    </row>
    <row r="30" spans="1:13" x14ac:dyDescent="0.2">
      <c r="A30" s="33"/>
      <c r="B30" s="34" t="s">
        <v>21</v>
      </c>
      <c r="C30" s="35">
        <f>VLOOKUP(B30,[3]SponsoredResearch!$B$7:$Q$81,16,FALSE)</f>
        <v>1373</v>
      </c>
      <c r="D30" s="36">
        <f t="shared" si="6"/>
        <v>4.1197999999999997</v>
      </c>
      <c r="E30" s="37">
        <f>(1690)+(190/3.5)</f>
        <v>1744.2857142857142</v>
      </c>
      <c r="F30" s="38">
        <f t="shared" si="7"/>
        <v>1.9818590909548338E-3</v>
      </c>
      <c r="G30" s="39">
        <v>310</v>
      </c>
      <c r="H30" s="38">
        <f t="shared" si="8"/>
        <v>1.9737159249769657E-3</v>
      </c>
      <c r="I30" s="39">
        <f>SUMIF('[3]AUCC fall enrolment data'!$A$3:$A$90,B30,'[3]AUCC fall enrolment data'!$AS$3:$AS$90)</f>
        <v>3097.6190476190477</v>
      </c>
      <c r="J30" s="36">
        <f t="shared" si="9"/>
        <v>5.1707000000000001</v>
      </c>
      <c r="K30" s="39">
        <f>VLOOKUP(B30,[3]Faculty!$B$7:$O$81,14,FALSE)</f>
        <v>103</v>
      </c>
      <c r="L30" s="40">
        <f t="shared" si="10"/>
        <v>3.2507999999999999</v>
      </c>
      <c r="M30" s="42">
        <f t="shared" si="11"/>
        <v>4</v>
      </c>
    </row>
    <row r="31" spans="1:13" x14ac:dyDescent="0.2">
      <c r="A31" s="33"/>
      <c r="B31" s="34" t="s">
        <v>22</v>
      </c>
      <c r="C31" s="35">
        <f>VLOOKUP(B31,[3]SponsoredResearch!$B$7:$Q$81,16,FALSE)</f>
        <v>1324</v>
      </c>
      <c r="D31" s="36">
        <f t="shared" si="6"/>
        <v>4.0685000000000002</v>
      </c>
      <c r="E31" s="37">
        <f>(2260)+((460)/3.5)</f>
        <v>2391.4285714285716</v>
      </c>
      <c r="F31" s="38">
        <f t="shared" si="7"/>
        <v>2.7171434219970454E-3</v>
      </c>
      <c r="G31" s="39">
        <f>10+(30/3.5)</f>
        <v>18.571428571428569</v>
      </c>
      <c r="H31" s="38">
        <f t="shared" si="8"/>
        <v>1.1824104619677673E-4</v>
      </c>
      <c r="I31" s="39">
        <f>SUMIF('[3]AUCC fall enrolment data'!$A$3:$A$90,B31,'[3]AUCC fall enrolment data'!$AS$3:$AS$90)</f>
        <v>2605.2380952380954</v>
      </c>
      <c r="J31" s="36">
        <f t="shared" si="9"/>
        <v>4.7630999999999997</v>
      </c>
      <c r="K31" s="39">
        <f>VLOOKUP(B31,[3]Faculty!$B$7:$O$81,14,FALSE)</f>
        <v>113.66666666666667</v>
      </c>
      <c r="L31" s="40">
        <f t="shared" si="10"/>
        <v>3.5474999999999999</v>
      </c>
      <c r="M31" s="42">
        <f t="shared" si="11"/>
        <v>4</v>
      </c>
    </row>
    <row r="32" spans="1:13" x14ac:dyDescent="0.2">
      <c r="A32" s="33"/>
      <c r="B32" s="34" t="s">
        <v>23</v>
      </c>
      <c r="C32" s="35">
        <f>VLOOKUP(B32,[3]SponsoredResearch!$B$7:$Q$81,16,FALSE)</f>
        <v>2644</v>
      </c>
      <c r="D32" s="36">
        <f t="shared" si="6"/>
        <v>5.0446999999999997</v>
      </c>
      <c r="E32" s="37">
        <f>(2270)+((630)/3.5)</f>
        <v>2450</v>
      </c>
      <c r="F32" s="38">
        <f t="shared" si="7"/>
        <v>2.7836923349611304E-3</v>
      </c>
      <c r="G32" s="39">
        <f>(100)+((860)/3.5)</f>
        <v>345.71428571428572</v>
      </c>
      <c r="H32" s="38">
        <f t="shared" si="8"/>
        <v>2.2011025522784594E-3</v>
      </c>
      <c r="I32" s="39">
        <f>SUMIF('[3]AUCC fall enrolment data'!$A$3:$A$90,B32,'[3]AUCC fall enrolment data'!$AS$3:$AS$90)</f>
        <v>2731.4285714285711</v>
      </c>
      <c r="J32" s="36">
        <f t="shared" si="9"/>
        <v>4.8745000000000003</v>
      </c>
      <c r="K32" s="39">
        <f>VLOOKUP(B32,[3]Faculty!$B$7:$O$81,14,FALSE)</f>
        <v>121.33333333333333</v>
      </c>
      <c r="L32" s="40">
        <f t="shared" si="10"/>
        <v>3.7440000000000002</v>
      </c>
      <c r="M32" s="42">
        <f t="shared" si="11"/>
        <v>5</v>
      </c>
    </row>
    <row r="33" spans="1:21" x14ac:dyDescent="0.2">
      <c r="A33" s="33"/>
      <c r="B33" s="34" t="s">
        <v>24</v>
      </c>
      <c r="C33" s="35">
        <f>VLOOKUP(B33,[3]SponsoredResearch!$B$7:$Q$81,16,FALSE)</f>
        <v>4323</v>
      </c>
      <c r="D33" s="36">
        <f t="shared" si="6"/>
        <v>5.7385999999999999</v>
      </c>
      <c r="E33" s="37">
        <f>(3200)+((940)/3.5)</f>
        <v>3468.5714285714284</v>
      </c>
      <c r="F33" s="38">
        <f t="shared" si="7"/>
        <v>3.9409941628487611E-3</v>
      </c>
      <c r="G33" s="39">
        <f>(70)+((80)/3.5)</f>
        <v>92.857142857142861</v>
      </c>
      <c r="H33" s="38">
        <f t="shared" si="8"/>
        <v>5.9120523098388374E-4</v>
      </c>
      <c r="I33" s="39">
        <f>SUMIF('[3]AUCC fall enrolment data'!$A$3:$A$90,B33,'[3]AUCC fall enrolment data'!$AS$3:$AS$90)</f>
        <v>3705.238095238095</v>
      </c>
      <c r="J33" s="36">
        <f t="shared" si="9"/>
        <v>5.5923999999999996</v>
      </c>
      <c r="K33" s="39">
        <f>VLOOKUP(B33,[3]Faculty!$B$7:$O$81,14,FALSE)</f>
        <v>141.66666666666666</v>
      </c>
      <c r="L33" s="40">
        <f t="shared" si="10"/>
        <v>4.2104999999999997</v>
      </c>
      <c r="M33" s="42">
        <f t="shared" si="11"/>
        <v>5</v>
      </c>
    </row>
    <row r="34" spans="1:21" x14ac:dyDescent="0.2">
      <c r="A34" s="33"/>
      <c r="B34" s="34" t="s">
        <v>25</v>
      </c>
      <c r="C34" s="35">
        <f>VLOOKUP(B34,[3]SponsoredResearch!$B$7:$Q$81,16,FALSE)</f>
        <v>4131</v>
      </c>
      <c r="D34" s="36">
        <f t="shared" si="6"/>
        <v>5.6745000000000001</v>
      </c>
      <c r="E34" s="37">
        <f>(2570)+(80/3.5)</f>
        <v>2592.8571428571427</v>
      </c>
      <c r="F34" s="38">
        <f t="shared" si="7"/>
        <v>2.9460067568247532E-3</v>
      </c>
      <c r="G34" s="39">
        <v>10</v>
      </c>
      <c r="H34" s="38">
        <f t="shared" si="8"/>
        <v>6.3668255644418247E-5</v>
      </c>
      <c r="I34" s="39">
        <f>SUMIF('[3]AUCC fall enrolment data'!$A$3:$A$90,B34,'[3]AUCC fall enrolment data'!$AS$3:$AS$90)</f>
        <v>2202.8571428571427</v>
      </c>
      <c r="J34" s="36">
        <f t="shared" si="9"/>
        <v>4.3681000000000001</v>
      </c>
      <c r="K34" s="39">
        <f>VLOOKUP(B34,[3]Faculty!$B$7:$O$81,14,FALSE)</f>
        <v>137.66666666666666</v>
      </c>
      <c r="L34" s="40">
        <f t="shared" si="10"/>
        <v>4.1242999999999999</v>
      </c>
      <c r="M34" s="42">
        <f t="shared" si="11"/>
        <v>5</v>
      </c>
    </row>
    <row r="35" spans="1:21" x14ac:dyDescent="0.2">
      <c r="A35" s="33"/>
      <c r="B35" s="34" t="s">
        <v>26</v>
      </c>
      <c r="C35" s="35">
        <f>VLOOKUP(B35,[3]SponsoredResearch!$B$7:$Q$81,16,FALSE)</f>
        <v>2234</v>
      </c>
      <c r="D35" s="36">
        <f t="shared" si="6"/>
        <v>4.8068999999999997</v>
      </c>
      <c r="E35" s="37">
        <f>(2170)+((770)/3.5)</f>
        <v>2390</v>
      </c>
      <c r="F35" s="38">
        <f t="shared" si="7"/>
        <v>2.7155202777784091E-3</v>
      </c>
      <c r="G35" s="39">
        <f>(110)+((120)/3.5)</f>
        <v>144.28571428571428</v>
      </c>
      <c r="H35" s="38">
        <f t="shared" si="8"/>
        <v>9.186419742980346E-4</v>
      </c>
      <c r="I35" s="39">
        <f>SUMIF('[3]AUCC fall enrolment data'!$A$3:$A$90,B35,'[3]AUCC fall enrolment data'!$AS$3:$AS$90)</f>
        <v>2899.0476190476188</v>
      </c>
      <c r="J35" s="36">
        <f t="shared" si="9"/>
        <v>5.0147000000000004</v>
      </c>
      <c r="K35" s="39">
        <f>VLOOKUP(B35,[3]Faculty!$B$7:$O$81,14,FALSE)</f>
        <v>176</v>
      </c>
      <c r="L35" s="40">
        <f t="shared" si="10"/>
        <v>4.8639000000000001</v>
      </c>
      <c r="M35" s="42">
        <f t="shared" si="11"/>
        <v>5</v>
      </c>
    </row>
    <row r="36" spans="1:21" x14ac:dyDescent="0.2">
      <c r="A36" s="33"/>
      <c r="B36" s="34" t="s">
        <v>27</v>
      </c>
      <c r="C36" s="35">
        <f>VLOOKUP(B36,[3]SponsoredResearch!$B$7:$Q$81,16,FALSE)</f>
        <v>5934</v>
      </c>
      <c r="D36" s="36">
        <f t="shared" si="6"/>
        <v>6.1856999999999998</v>
      </c>
      <c r="E36" s="37">
        <f>(2480)+(510/3.5)</f>
        <v>2625.7142857142858</v>
      </c>
      <c r="F36" s="38">
        <f t="shared" si="7"/>
        <v>2.9833390738533867E-3</v>
      </c>
      <c r="G36" s="39">
        <v>180</v>
      </c>
      <c r="H36" s="38">
        <f t="shared" si="8"/>
        <v>1.1460286015995283E-3</v>
      </c>
      <c r="I36" s="39">
        <f>SUMIF('[3]AUCC fall enrolment data'!$A$3:$A$90,B36,'[3]AUCC fall enrolment data'!$AS$3:$AS$90)</f>
        <v>3032.3809523809523</v>
      </c>
      <c r="J36" s="36">
        <f t="shared" si="9"/>
        <v>5.1205999999999996</v>
      </c>
      <c r="K36" s="39">
        <f>VLOOKUP(B36,[3]Faculty!$B$7:$O$81,14,FALSE)</f>
        <v>141</v>
      </c>
      <c r="L36" s="40">
        <f t="shared" si="10"/>
        <v>4.1962999999999999</v>
      </c>
      <c r="M36" s="42">
        <f t="shared" si="11"/>
        <v>5</v>
      </c>
      <c r="U36" s="111"/>
    </row>
    <row r="37" spans="1:21" x14ac:dyDescent="0.2">
      <c r="A37" s="33"/>
      <c r="B37" s="34" t="s">
        <v>28</v>
      </c>
      <c r="C37" s="35">
        <f>VLOOKUP(B37,[3]SponsoredResearch!$B$7:$Q$81,16,FALSE)</f>
        <v>57845</v>
      </c>
      <c r="D37" s="36">
        <f t="shared" si="6"/>
        <v>9.3996999999999993</v>
      </c>
      <c r="E37" s="37">
        <v>0</v>
      </c>
      <c r="F37" s="38">
        <f t="shared" si="7"/>
        <v>0</v>
      </c>
      <c r="G37" s="39">
        <f>490+(40/3.5)</f>
        <v>501.42857142857144</v>
      </c>
      <c r="H37" s="38">
        <f t="shared" si="8"/>
        <v>3.1925082473129719E-3</v>
      </c>
      <c r="I37" s="39">
        <f>SUMIF('[3]AUCC fall enrolment data'!$A$3:$A$90,B37,'[3]AUCC fall enrolment data'!$AS$3:$AS$90)</f>
        <v>578.09523809523807</v>
      </c>
      <c r="J37" s="36">
        <f t="shared" si="9"/>
        <v>1.2183999999999999</v>
      </c>
      <c r="K37" s="39">
        <f>VLOOKUP(B37,[3]Faculty!$B$7:$O$81,14,FALSE)</f>
        <v>140.33333333333334</v>
      </c>
      <c r="L37" s="40">
        <f t="shared" si="10"/>
        <v>4.1820000000000004</v>
      </c>
      <c r="M37" s="42">
        <f t="shared" si="11"/>
        <v>5</v>
      </c>
    </row>
    <row r="38" spans="1:21" x14ac:dyDescent="0.2">
      <c r="A38" s="33"/>
      <c r="B38" s="34" t="s">
        <v>29</v>
      </c>
      <c r="C38" s="35">
        <f>VLOOKUP(B38,[3]SponsoredResearch!$B$7:$Q$81,16,FALSE)</f>
        <v>16026</v>
      </c>
      <c r="D38" s="36">
        <f t="shared" si="6"/>
        <v>7.5880000000000001</v>
      </c>
      <c r="E38" s="37">
        <f>(910)+((1470)/3.5)</f>
        <v>1330</v>
      </c>
      <c r="F38" s="38">
        <f t="shared" si="7"/>
        <v>1.511147267550328E-3</v>
      </c>
      <c r="G38" s="39">
        <f>(190)+((260)/3.5)</f>
        <v>264.28571428571428</v>
      </c>
      <c r="H38" s="38">
        <f t="shared" si="8"/>
        <v>1.6826610420310536E-3</v>
      </c>
      <c r="I38" s="39">
        <f>SUMIF('[3]AUCC fall enrolment data'!$A$3:$A$90,B38,'[3]AUCC fall enrolment data'!$AS$3:$AS$90)</f>
        <v>2177.6190476190473</v>
      </c>
      <c r="J38" s="36">
        <f t="shared" si="9"/>
        <v>4.3410000000000002</v>
      </c>
      <c r="K38" s="39">
        <f>VLOOKUP(B38,[3]Faculty!$B$7:$O$81,14,FALSE)</f>
        <v>109</v>
      </c>
      <c r="L38" s="40">
        <f t="shared" si="10"/>
        <v>3.4211999999999998</v>
      </c>
      <c r="M38" s="42">
        <f t="shared" si="11"/>
        <v>5</v>
      </c>
    </row>
    <row r="39" spans="1:21" x14ac:dyDescent="0.2">
      <c r="A39" s="33"/>
      <c r="B39" s="34" t="s">
        <v>30</v>
      </c>
      <c r="C39" s="35">
        <f>VLOOKUP(B39,[3]SponsoredResearch!$B$7:$Q$81,16,FALSE)</f>
        <v>2204</v>
      </c>
      <c r="D39" s="36">
        <f t="shared" si="6"/>
        <v>4.7877999999999998</v>
      </c>
      <c r="E39" s="37">
        <f>(3800)+((2300)/3.5)</f>
        <v>4457.1428571428569</v>
      </c>
      <c r="F39" s="38">
        <f t="shared" si="7"/>
        <v>5.0642099621450304E-3</v>
      </c>
      <c r="G39" s="39">
        <f>(60)+((280)/3.5)</f>
        <v>140</v>
      </c>
      <c r="H39" s="38">
        <f t="shared" si="8"/>
        <v>8.9135557902185545E-4</v>
      </c>
      <c r="I39" s="39">
        <f>SUMIF('[3]AUCC fall enrolment data'!$A$3:$A$90,B39,'[3]AUCC fall enrolment data'!$AS$3:$AS$90)</f>
        <v>3885.7142857142858</v>
      </c>
      <c r="J39" s="36">
        <f t="shared" si="9"/>
        <v>5.7043999999999997</v>
      </c>
      <c r="K39" s="39">
        <f>VLOOKUP(B39,[3]Faculty!$B$7:$O$81,14,FALSE)</f>
        <v>174.33333333333334</v>
      </c>
      <c r="L39" s="40">
        <f t="shared" si="10"/>
        <v>4.8353000000000002</v>
      </c>
      <c r="M39" s="42">
        <f t="shared" si="11"/>
        <v>5</v>
      </c>
    </row>
    <row r="40" spans="1:21" x14ac:dyDescent="0.2">
      <c r="A40" s="33"/>
      <c r="B40" s="9" t="s">
        <v>31</v>
      </c>
      <c r="C40" s="45">
        <f>VLOOKUP(B40,[3]SponsoredResearch!$B$7:$Q$81,16,FALSE)</f>
        <v>12433</v>
      </c>
      <c r="D40" s="36">
        <f t="shared" si="6"/>
        <v>7.2297000000000002</v>
      </c>
      <c r="E40" s="46">
        <f>(1090)+((170)/3.5)</f>
        <v>1138.5714285714287</v>
      </c>
      <c r="F40" s="47">
        <f t="shared" si="7"/>
        <v>1.2936459422530737E-3</v>
      </c>
      <c r="G40" s="48">
        <f>(300)+((260)/3.5)</f>
        <v>374.28571428571428</v>
      </c>
      <c r="H40" s="47">
        <f t="shared" si="8"/>
        <v>2.3830118541196543E-3</v>
      </c>
      <c r="I40" s="48">
        <f>SUMIF('[3]AUCC fall enrolment data'!$A$3:$A$90,B40,'[3]AUCC fall enrolment data'!$AS$3:$AS$90)</f>
        <v>1212.8571428571429</v>
      </c>
      <c r="J40" s="36">
        <f t="shared" si="9"/>
        <v>2.9630000000000001</v>
      </c>
      <c r="K40" s="39">
        <f>VLOOKUP(B40,[3]Faculty!$B$7:$O$81,14,FALSE)</f>
        <v>200</v>
      </c>
      <c r="L40" s="49">
        <f t="shared" si="10"/>
        <v>5.2488000000000001</v>
      </c>
      <c r="M40" s="42">
        <f t="shared" si="11"/>
        <v>5</v>
      </c>
    </row>
    <row r="41" spans="1:21" x14ac:dyDescent="0.2">
      <c r="A41" s="33"/>
      <c r="B41" s="34" t="s">
        <v>32</v>
      </c>
      <c r="C41" s="35">
        <f>VLOOKUP(B41,[3]SponsoredResearch!$B$7:$Q$81,16,FALSE)</f>
        <v>9627</v>
      </c>
      <c r="D41" s="36">
        <f t="shared" si="6"/>
        <v>6.8686999999999996</v>
      </c>
      <c r="E41" s="37">
        <f>(1950)+((970)/3.5)</f>
        <v>2227.1428571428573</v>
      </c>
      <c r="F41" s="38">
        <f t="shared" si="7"/>
        <v>2.5304818368538794E-3</v>
      </c>
      <c r="G41" s="39">
        <f>(500)+((160)/3.5)</f>
        <v>545.71428571428567</v>
      </c>
      <c r="H41" s="38">
        <f t="shared" si="8"/>
        <v>3.4744676651668237E-3</v>
      </c>
      <c r="I41" s="39">
        <f>SUMIF('[3]AUCC fall enrolment data'!$A$3:$A$90,B41,'[3]AUCC fall enrolment data'!$AS$3:$AS$90)</f>
        <v>2660.4761904761904</v>
      </c>
      <c r="J41" s="36">
        <f t="shared" si="9"/>
        <v>4.8125</v>
      </c>
      <c r="K41" s="39">
        <f>VLOOKUP(B41,[3]Faculty!$B$7:$O$81,14,FALSE)</f>
        <v>185.66666666666666</v>
      </c>
      <c r="L41" s="40">
        <f t="shared" si="10"/>
        <v>5.0248999999999997</v>
      </c>
      <c r="M41" s="42">
        <f t="shared" si="11"/>
        <v>6</v>
      </c>
    </row>
    <row r="42" spans="1:21" x14ac:dyDescent="0.2">
      <c r="A42" s="33"/>
      <c r="B42" s="34" t="s">
        <v>33</v>
      </c>
      <c r="C42" s="35">
        <f>VLOOKUP(B42,[3]SponsoredResearch!$B$7:$Q$81,16,FALSE)</f>
        <v>1355</v>
      </c>
      <c r="D42" s="36">
        <f t="shared" si="6"/>
        <v>4.1010999999999997</v>
      </c>
      <c r="E42" s="37">
        <f>(5800)+(2190/3.5)</f>
        <v>6425.7142857142853</v>
      </c>
      <c r="F42" s="38">
        <f t="shared" si="7"/>
        <v>7.3009026954257523E-3</v>
      </c>
      <c r="G42" s="39">
        <v>50</v>
      </c>
      <c r="H42" s="38">
        <f t="shared" si="8"/>
        <v>3.1834127822209123E-4</v>
      </c>
      <c r="I42" s="39">
        <f>SUMIF('[3]AUCC fall enrolment data'!$A$3:$A$90,B42,'[3]AUCC fall enrolment data'!$AS$3:$AS$90)</f>
        <v>6946.1904761904761</v>
      </c>
      <c r="J42" s="36">
        <f t="shared" si="9"/>
        <v>7.0720999999999998</v>
      </c>
      <c r="K42" s="39">
        <f>VLOOKUP(B42,[3]Faculty!$B$7:$O$81,14,FALSE)</f>
        <v>258</v>
      </c>
      <c r="L42" s="40">
        <f t="shared" si="10"/>
        <v>6.0156000000000001</v>
      </c>
      <c r="M42" s="42">
        <f t="shared" si="11"/>
        <v>6</v>
      </c>
    </row>
    <row r="43" spans="1:21" x14ac:dyDescent="0.2">
      <c r="A43" s="33"/>
      <c r="B43" s="34" t="s">
        <v>34</v>
      </c>
      <c r="C43" s="35">
        <f>VLOOKUP(B43,[3]SponsoredResearch!$B$7:$Q$81,16,FALSE)</f>
        <v>6048</v>
      </c>
      <c r="D43" s="36">
        <f t="shared" si="6"/>
        <v>6.2126000000000001</v>
      </c>
      <c r="E43" s="37">
        <f>(3290)+((150)/3.5)</f>
        <v>3332.8571428571427</v>
      </c>
      <c r="F43" s="38">
        <f t="shared" si="7"/>
        <v>3.7867954620783191E-3</v>
      </c>
      <c r="G43" s="39">
        <f>(190)+((330)/3.5)</f>
        <v>284.28571428571428</v>
      </c>
      <c r="H43" s="38">
        <f t="shared" si="8"/>
        <v>1.8099975533198899E-3</v>
      </c>
      <c r="I43" s="39">
        <f>SUMIF('[3]AUCC fall enrolment data'!$A$3:$A$90,B43,'[3]AUCC fall enrolment data'!$AS$3:$AS$90)</f>
        <v>3998.0952380952381</v>
      </c>
      <c r="J43" s="36">
        <f t="shared" si="9"/>
        <v>5.7714999999999996</v>
      </c>
      <c r="K43" s="39">
        <f>VLOOKUP(B43,[3]Faculty!$B$7:$O$81,14,FALSE)</f>
        <v>191.33333333333334</v>
      </c>
      <c r="L43" s="40">
        <f t="shared" si="10"/>
        <v>5.1154000000000002</v>
      </c>
      <c r="M43" s="42">
        <f t="shared" si="11"/>
        <v>6</v>
      </c>
    </row>
    <row r="44" spans="1:21" ht="15.6" customHeight="1" x14ac:dyDescent="0.2">
      <c r="A44" s="33"/>
      <c r="B44" s="34" t="s">
        <v>35</v>
      </c>
      <c r="C44" s="35">
        <f>VLOOKUP(B44,[3]SponsoredResearch!$B$7:$Q$81,16,FALSE)</f>
        <v>1809</v>
      </c>
      <c r="D44" s="36">
        <f t="shared" si="6"/>
        <v>4.5090000000000003</v>
      </c>
      <c r="E44" s="37">
        <f>(5490)+((990)/3.5)</f>
        <v>5772.8571428571431</v>
      </c>
      <c r="F44" s="38">
        <f t="shared" si="7"/>
        <v>6.5591257875089962E-3</v>
      </c>
      <c r="G44" s="39">
        <f>(210)+((102)/3.5)</f>
        <v>239.14285714285714</v>
      </c>
      <c r="H44" s="38">
        <f t="shared" si="8"/>
        <v>1.522580856410802E-3</v>
      </c>
      <c r="I44" s="39">
        <f>SUMIF('[3]AUCC fall enrolment data'!$A$3:$A$90,B44,'[3]AUCC fall enrolment data'!$AS$3:$AS$90)</f>
        <v>6545.7142857142862</v>
      </c>
      <c r="J44" s="36">
        <f t="shared" si="9"/>
        <v>6.9321999999999999</v>
      </c>
      <c r="K44" s="39">
        <f>VLOOKUP(B44,[3]Faculty!$B$7:$O$81,14,FALSE)</f>
        <v>264.66666666666669</v>
      </c>
      <c r="L44" s="40">
        <f t="shared" si="10"/>
        <v>6.0923999999999996</v>
      </c>
      <c r="M44" s="42">
        <f t="shared" si="11"/>
        <v>6</v>
      </c>
    </row>
    <row r="45" spans="1:21" x14ac:dyDescent="0.2">
      <c r="A45" s="33"/>
      <c r="B45" s="34" t="s">
        <v>36</v>
      </c>
      <c r="C45" s="35">
        <f>VLOOKUP(B45,[3]SponsoredResearch!$B$7:$Q$81,16,FALSE)</f>
        <v>757</v>
      </c>
      <c r="D45" s="36">
        <f t="shared" si="6"/>
        <v>3.2793999999999999</v>
      </c>
      <c r="E45" s="37">
        <v>11794</v>
      </c>
      <c r="F45" s="38">
        <f t="shared" si="7"/>
        <v>1.3400354040216968E-2</v>
      </c>
      <c r="G45" s="39">
        <v>0</v>
      </c>
      <c r="H45" s="38">
        <f t="shared" si="8"/>
        <v>0</v>
      </c>
      <c r="I45" s="39">
        <f>SUMIF('[3]AUCC fall enrolment data'!$A$3:$A$90,B45,'[3]AUCC fall enrolment data'!$AS$3:$AS$90)</f>
        <v>13012.857142857143</v>
      </c>
      <c r="J45" s="36">
        <f t="shared" si="9"/>
        <v>8.5501000000000005</v>
      </c>
      <c r="K45" s="39">
        <f>VLOOKUP(B45,[3]Faculty!$B$7:$O$81,14,FALSE)</f>
        <v>373.33333333333331</v>
      </c>
      <c r="L45" s="40">
        <f t="shared" si="10"/>
        <v>7.1281999999999996</v>
      </c>
      <c r="M45" s="42">
        <f t="shared" si="11"/>
        <v>6</v>
      </c>
    </row>
    <row r="46" spans="1:21" x14ac:dyDescent="0.2">
      <c r="A46" s="33"/>
      <c r="B46" s="34" t="s">
        <v>37</v>
      </c>
      <c r="C46" s="35">
        <f>VLOOKUP(B46,[3]SponsoredResearch!$B$7:$Q$81,16,FALSE)</f>
        <v>7480</v>
      </c>
      <c r="D46" s="36">
        <f t="shared" si="6"/>
        <v>6.5125000000000002</v>
      </c>
      <c r="E46" s="37">
        <f>(3160)+((2070)/3.5)</f>
        <v>3751.4285714285716</v>
      </c>
      <c r="F46" s="38">
        <f t="shared" si="7"/>
        <v>4.2623767181387343E-3</v>
      </c>
      <c r="G46" s="39">
        <f>(560)+((600)/3.5)</f>
        <v>731.42857142857144</v>
      </c>
      <c r="H46" s="38">
        <f t="shared" si="8"/>
        <v>4.6568781271345916E-3</v>
      </c>
      <c r="I46" s="39">
        <f>SUMIF('[3]AUCC fall enrolment data'!$A$3:$A$90,B46,'[3]AUCC fall enrolment data'!$AS$3:$AS$90)</f>
        <v>5264.7619047619046</v>
      </c>
      <c r="J46" s="36">
        <f t="shared" si="9"/>
        <v>6.4195000000000002</v>
      </c>
      <c r="K46" s="39">
        <f>VLOOKUP(B46,[3]Faculty!$B$7:$O$81,14,FALSE)</f>
        <v>224.33333333333334</v>
      </c>
      <c r="L46" s="40">
        <f t="shared" si="10"/>
        <v>5.5945</v>
      </c>
      <c r="M46" s="42">
        <f t="shared" si="11"/>
        <v>6</v>
      </c>
    </row>
    <row r="47" spans="1:21" x14ac:dyDescent="0.2">
      <c r="A47" s="33"/>
      <c r="B47" s="34" t="s">
        <v>38</v>
      </c>
      <c r="C47" s="35">
        <f>VLOOKUP(B47,[3]SponsoredResearch!$B$7:$Q$81,16,FALSE)</f>
        <v>2260</v>
      </c>
      <c r="D47" s="36">
        <f t="shared" si="6"/>
        <v>4.8231999999999999</v>
      </c>
      <c r="E47" s="37">
        <f>(6540)+(890/3.5)</f>
        <v>6794.2857142857147</v>
      </c>
      <c r="F47" s="38">
        <f t="shared" si="7"/>
        <v>7.7196739038338999E-3</v>
      </c>
      <c r="G47" s="39">
        <v>110</v>
      </c>
      <c r="H47" s="38">
        <f t="shared" si="8"/>
        <v>7.0035081208860066E-4</v>
      </c>
      <c r="I47" s="39">
        <f>SUMIF('[3]AUCC fall enrolment data'!$A$3:$A$90,B47,'[3]AUCC fall enrolment data'!$AS$3:$AS$90)</f>
        <v>7716.5714285714284</v>
      </c>
      <c r="J47" s="36">
        <f t="shared" si="9"/>
        <v>7.3197000000000001</v>
      </c>
      <c r="K47" s="39">
        <f>VLOOKUP(B47,[3]Faculty!$B$7:$O$81,14,FALSE)</f>
        <v>309</v>
      </c>
      <c r="L47" s="40">
        <f t="shared" si="10"/>
        <v>6.5587</v>
      </c>
      <c r="M47" s="42">
        <f t="shared" si="11"/>
        <v>6</v>
      </c>
    </row>
    <row r="48" spans="1:21" x14ac:dyDescent="0.2">
      <c r="A48" s="33"/>
      <c r="B48" s="34" t="s">
        <v>39</v>
      </c>
      <c r="C48" s="35">
        <f>VLOOKUP(B48,[3]SponsoredResearch!$B$7:$Q$81,16,FALSE)</f>
        <v>7718</v>
      </c>
      <c r="D48" s="36">
        <f t="shared" si="6"/>
        <v>6.5567000000000002</v>
      </c>
      <c r="E48" s="37">
        <f>(4070)+((510)/3.5)</f>
        <v>4215.7142857142853</v>
      </c>
      <c r="F48" s="38">
        <f t="shared" si="7"/>
        <v>4.7898985891955074E-3</v>
      </c>
      <c r="G48" s="39">
        <f>(100)+((260)/3.5)</f>
        <v>174.28571428571428</v>
      </c>
      <c r="H48" s="38">
        <f t="shared" si="8"/>
        <v>1.1096467412312894E-3</v>
      </c>
      <c r="I48" s="39">
        <f>SUMIF('[3]AUCC fall enrolment data'!$A$3:$A$90,B48,'[3]AUCC fall enrolment data'!$AS$3:$AS$90)</f>
        <v>4288.5714285714284</v>
      </c>
      <c r="J48" s="36">
        <f t="shared" si="9"/>
        <v>5.9367000000000001</v>
      </c>
      <c r="K48" s="39">
        <f>VLOOKUP(B48,[3]Faculty!$B$7:$O$81,14,FALSE)</f>
        <v>235.66666666666666</v>
      </c>
      <c r="L48" s="40">
        <f t="shared" si="10"/>
        <v>5.7428999999999997</v>
      </c>
      <c r="M48" s="42">
        <f t="shared" si="11"/>
        <v>6</v>
      </c>
    </row>
    <row r="49" spans="1:13" x14ac:dyDescent="0.2">
      <c r="A49" s="33"/>
      <c r="B49" s="34" t="s">
        <v>40</v>
      </c>
      <c r="C49" s="35">
        <f>VLOOKUP(B49,[3]SponsoredResearch!$B$7:$Q$81,16,FALSE)</f>
        <v>1176</v>
      </c>
      <c r="D49" s="36">
        <f t="shared" si="6"/>
        <v>3.9011999999999998</v>
      </c>
      <c r="E49" s="50">
        <f>4050+(7540/3.5)</f>
        <v>6204.2857142857138</v>
      </c>
      <c r="F49" s="51">
        <f t="shared" si="7"/>
        <v>7.0493153415371367E-3</v>
      </c>
      <c r="G49" s="52">
        <v>0</v>
      </c>
      <c r="H49" s="51">
        <f t="shared" si="8"/>
        <v>0</v>
      </c>
      <c r="I49" s="39">
        <f>SUMIF('[3]AUCC fall enrolment data'!$A$3:$A$90,B49,'[3]AUCC fall enrolment data'!$AS$3:$AS$90)</f>
        <v>11285.714285714284</v>
      </c>
      <c r="J49" s="36">
        <f t="shared" si="9"/>
        <v>8.2148000000000003</v>
      </c>
      <c r="K49" s="39">
        <f>VLOOKUP(B49,[3]Faculty!$B$7:$O$81,14,FALSE)</f>
        <v>395</v>
      </c>
      <c r="L49" s="40">
        <f t="shared" si="10"/>
        <v>7.298</v>
      </c>
      <c r="M49" s="42">
        <f t="shared" si="11"/>
        <v>6</v>
      </c>
    </row>
    <row r="50" spans="1:13" x14ac:dyDescent="0.2">
      <c r="A50" s="33"/>
      <c r="B50" s="9" t="s">
        <v>41</v>
      </c>
      <c r="C50" s="35">
        <f>VLOOKUP(B50,[3]SponsoredResearch!$B$7:$Q$81,16,FALSE)</f>
        <v>3896</v>
      </c>
      <c r="D50" s="36">
        <f t="shared" si="6"/>
        <v>5.5918999999999999</v>
      </c>
      <c r="E50" s="46">
        <f>(36240)/3.5</f>
        <v>10354.285714285714</v>
      </c>
      <c r="F50" s="47">
        <f t="shared" si="7"/>
        <v>1.1764549296675378E-2</v>
      </c>
      <c r="G50" s="48">
        <f>(3460)/3.5</f>
        <v>988.57142857142856</v>
      </c>
      <c r="H50" s="47">
        <f t="shared" si="8"/>
        <v>6.2940618437053461E-3</v>
      </c>
      <c r="I50" s="39">
        <f>SUMIF('[3]AUCC fall enrolment data'!$A$3:$A$90,B50,'[3]AUCC fall enrolment data'!$AS$3:$AS$90)</f>
        <v>12186.666666666666</v>
      </c>
      <c r="J50" s="36">
        <f t="shared" si="9"/>
        <v>8.3956</v>
      </c>
      <c r="K50" s="39">
        <f>VLOOKUP(B50,[3]Faculty!$B$7:$O$81,14,FALSE)</f>
        <v>176</v>
      </c>
      <c r="L50" s="40">
        <f t="shared" si="10"/>
        <v>4.8639000000000001</v>
      </c>
      <c r="M50" s="42">
        <f t="shared" si="11"/>
        <v>6</v>
      </c>
    </row>
    <row r="51" spans="1:13" x14ac:dyDescent="0.2">
      <c r="A51" s="33"/>
      <c r="B51" s="34" t="s">
        <v>42</v>
      </c>
      <c r="C51" s="35">
        <f>VLOOKUP(B51,[3]SponsoredResearch!$B$7:$Q$81,16,FALSE)</f>
        <v>12557</v>
      </c>
      <c r="D51" s="36">
        <f t="shared" si="6"/>
        <v>7.2436999999999996</v>
      </c>
      <c r="E51" s="37">
        <f>(3670)+((650)/3.5)</f>
        <v>3855.7142857142858</v>
      </c>
      <c r="F51" s="38">
        <f t="shared" si="7"/>
        <v>4.380866246099179E-3</v>
      </c>
      <c r="G51" s="39">
        <f>(250)+((20)/3.5)</f>
        <v>255.71428571428572</v>
      </c>
      <c r="H51" s="38">
        <f t="shared" si="8"/>
        <v>1.6280882514786953E-3</v>
      </c>
      <c r="I51" s="39">
        <f>SUMIF('[3]AUCC fall enrolment data'!$A$3:$A$90,B51,'[3]AUCC fall enrolment data'!$AS$3:$AS$90)</f>
        <v>4251.4285714285716</v>
      </c>
      <c r="J51" s="36">
        <f t="shared" si="9"/>
        <v>5.9161999999999999</v>
      </c>
      <c r="K51" s="39">
        <f>VLOOKUP(B51,[3]Faculty!$B$7:$O$81,14,FALSE)</f>
        <v>236.33333333333334</v>
      </c>
      <c r="L51" s="40">
        <f t="shared" si="10"/>
        <v>5.7514000000000003</v>
      </c>
      <c r="M51" s="42">
        <f t="shared" si="11"/>
        <v>6</v>
      </c>
    </row>
    <row r="52" spans="1:13" x14ac:dyDescent="0.2">
      <c r="A52" s="33"/>
      <c r="B52" s="34" t="s">
        <v>43</v>
      </c>
      <c r="C52" s="35">
        <f>VLOOKUP(B52,[3]SponsoredResearch!$B$7:$Q$81,16,FALSE)</f>
        <v>17922</v>
      </c>
      <c r="D52" s="36">
        <f t="shared" si="6"/>
        <v>7.7458</v>
      </c>
      <c r="E52" s="37">
        <f>(2840)+((2650)/3.5)</f>
        <v>3597.1428571428569</v>
      </c>
      <c r="F52" s="38">
        <f t="shared" si="7"/>
        <v>4.0870771425260211E-3</v>
      </c>
      <c r="G52" s="39">
        <f>(510)+((440)/3.5)</f>
        <v>635.71428571428567</v>
      </c>
      <c r="H52" s="38">
        <f t="shared" si="8"/>
        <v>4.0474819659665883E-3</v>
      </c>
      <c r="I52" s="39">
        <f>SUMIF('[3]AUCC fall enrolment data'!$A$3:$A$90,B52,'[3]AUCC fall enrolment data'!$AS$3:$AS$90)</f>
        <v>4377.1428571428578</v>
      </c>
      <c r="J52" s="36">
        <f t="shared" si="9"/>
        <v>5.9847999999999999</v>
      </c>
      <c r="K52" s="39">
        <f>VLOOKUP(B52,[3]Faculty!$B$7:$O$81,14,FALSE)</f>
        <v>197</v>
      </c>
      <c r="L52" s="40">
        <f t="shared" si="10"/>
        <v>5.2032999999999996</v>
      </c>
      <c r="M52" s="42">
        <f t="shared" si="11"/>
        <v>6</v>
      </c>
    </row>
    <row r="53" spans="1:13" x14ac:dyDescent="0.2">
      <c r="A53" s="33"/>
      <c r="B53" s="9" t="s">
        <v>44</v>
      </c>
      <c r="C53" s="35">
        <f>VLOOKUP(B53,[3]SponsoredResearch!$B$7:$Q$81,16,FALSE)</f>
        <v>10365</v>
      </c>
      <c r="D53" s="36">
        <f t="shared" si="6"/>
        <v>6.9729000000000001</v>
      </c>
      <c r="E53" s="37">
        <f>(7500)+((450)/3.5)</f>
        <v>7628.5714285714284</v>
      </c>
      <c r="F53" s="38">
        <f t="shared" si="7"/>
        <v>8.667590127517456E-3</v>
      </c>
      <c r="G53" s="39">
        <f>(300)+((140)/3.5)</f>
        <v>340</v>
      </c>
      <c r="H53" s="38">
        <f t="shared" si="8"/>
        <v>2.1647206919102203E-3</v>
      </c>
      <c r="I53" s="39">
        <f>SUMIF('[3]AUCC fall enrolment data'!$A$3:$A$90,B53,'[3]AUCC fall enrolment data'!$AS$3:$AS$90)</f>
        <v>9488.5714285714294</v>
      </c>
      <c r="J53" s="36">
        <f t="shared" si="9"/>
        <v>7.8064</v>
      </c>
      <c r="K53" s="39">
        <f>VLOOKUP(B53,[3]Faculty!$B$7:$O$81,14,FALSE)</f>
        <v>223.66666666666666</v>
      </c>
      <c r="L53" s="40">
        <f t="shared" si="10"/>
        <v>5.5856000000000003</v>
      </c>
      <c r="M53" s="42">
        <f t="shared" si="11"/>
        <v>7</v>
      </c>
    </row>
    <row r="54" spans="1:13" x14ac:dyDescent="0.2">
      <c r="A54" s="33"/>
      <c r="B54" s="34" t="s">
        <v>45</v>
      </c>
      <c r="C54" s="35">
        <f>VLOOKUP(B54,[3]SponsoredResearch!$B$7:$Q$81,16,FALSE)</f>
        <v>11363</v>
      </c>
      <c r="D54" s="36">
        <f t="shared" si="6"/>
        <v>7.1026999999999996</v>
      </c>
      <c r="E54" s="37">
        <f>(4570)+((620)/3.5)</f>
        <v>4747.1428571428569</v>
      </c>
      <c r="F54" s="38">
        <f t="shared" si="7"/>
        <v>5.3937082385281847E-3</v>
      </c>
      <c r="G54" s="39">
        <f>(400)+((340)/3.5)</f>
        <v>497.14285714285711</v>
      </c>
      <c r="H54" s="38">
        <f t="shared" si="8"/>
        <v>3.1652218520367924E-3</v>
      </c>
      <c r="I54" s="39">
        <f>SUMIF('[3]AUCC fall enrolment data'!$A$3:$A$90,B54,'[3]AUCC fall enrolment data'!$AS$3:$AS$90)</f>
        <v>4423.333333333333</v>
      </c>
      <c r="J54" s="36">
        <f t="shared" si="9"/>
        <v>6.0095000000000001</v>
      </c>
      <c r="K54" s="39">
        <f>VLOOKUP(B54,[3]Faculty!$B$7:$O$81,14,FALSE)</f>
        <v>277.66666666666669</v>
      </c>
      <c r="L54" s="40">
        <f t="shared" si="10"/>
        <v>6.2367999999999997</v>
      </c>
      <c r="M54" s="42">
        <f t="shared" si="11"/>
        <v>6</v>
      </c>
    </row>
    <row r="55" spans="1:13" x14ac:dyDescent="0.2">
      <c r="A55" s="33"/>
      <c r="B55" s="53" t="s">
        <v>46</v>
      </c>
      <c r="C55" s="107">
        <f>VLOOKUP(B55,[3]SponsoredResearch!$B$7:$Q$81,16,FALSE)</f>
        <v>8082</v>
      </c>
      <c r="D55" s="108">
        <f t="shared" si="6"/>
        <v>6.6218000000000004</v>
      </c>
      <c r="E55" s="50">
        <f>(5990)+((690)/3.5)</f>
        <v>6187.1428571428569</v>
      </c>
      <c r="F55" s="51">
        <f t="shared" si="7"/>
        <v>7.0298376109135018E-3</v>
      </c>
      <c r="G55" s="52">
        <f>(330)+((250)/3.5)</f>
        <v>401.42857142857144</v>
      </c>
      <c r="H55" s="51">
        <f t="shared" si="8"/>
        <v>2.5558256908687895E-3</v>
      </c>
      <c r="I55" s="52">
        <f>SUMIF('[3]AUCC fall enrolment data'!$A$3:$A$90,B55,'[3]AUCC fall enrolment data'!$AS$3:$AS$90)</f>
        <v>6499.5238095238092</v>
      </c>
      <c r="J55" s="108">
        <f t="shared" si="9"/>
        <v>6.9156000000000004</v>
      </c>
      <c r="K55" s="52">
        <f>VLOOKUP(B55,[3]Faculty!$B$7:$O$81,14,FALSE)</f>
        <v>248.33333333333334</v>
      </c>
      <c r="L55" s="109">
        <f t="shared" si="10"/>
        <v>5.9005999999999998</v>
      </c>
      <c r="M55" s="110">
        <f t="shared" si="11"/>
        <v>6</v>
      </c>
    </row>
    <row r="56" spans="1:13" x14ac:dyDescent="0.2">
      <c r="A56" s="33"/>
      <c r="B56" s="34" t="s">
        <v>47</v>
      </c>
      <c r="C56" s="35">
        <f>VLOOKUP(B56,[3]SponsoredResearch!$B$7:$Q$81,16,FALSE)</f>
        <v>3214</v>
      </c>
      <c r="D56" s="36">
        <f t="shared" si="6"/>
        <v>5.3201999999999998</v>
      </c>
      <c r="E56" s="37">
        <f>10040+(2220/3.5)</f>
        <v>10674.285714285714</v>
      </c>
      <c r="F56" s="38">
        <f t="shared" si="7"/>
        <v>1.2128133601649892E-2</v>
      </c>
      <c r="G56" s="39">
        <v>0</v>
      </c>
      <c r="H56" s="38">
        <f t="shared" si="8"/>
        <v>0</v>
      </c>
      <c r="I56" s="39">
        <f>SUMIF('[3]AUCC fall enrolment data'!$A$3:$A$90,B56,'[3]AUCC fall enrolment data'!$AS$3:$AS$90)</f>
        <v>9610</v>
      </c>
      <c r="J56" s="36">
        <f t="shared" si="9"/>
        <v>7.8362999999999996</v>
      </c>
      <c r="K56" s="39">
        <f>VLOOKUP(B56,[3]Faculty!$B$7:$O$81,14,FALSE)</f>
        <v>341</v>
      </c>
      <c r="L56" s="40">
        <f t="shared" si="10"/>
        <v>6.8554000000000004</v>
      </c>
      <c r="M56" s="42">
        <f t="shared" si="11"/>
        <v>7</v>
      </c>
    </row>
    <row r="57" spans="1:13" x14ac:dyDescent="0.2">
      <c r="A57" s="33"/>
      <c r="B57" s="34" t="s">
        <v>48</v>
      </c>
      <c r="C57" s="35">
        <f>VLOOKUP(B57,[3]SponsoredResearch!$B$7:$Q$81,16,FALSE)</f>
        <v>27199</v>
      </c>
      <c r="D57" s="36">
        <f t="shared" si="6"/>
        <v>8.3346</v>
      </c>
      <c r="E57" s="37">
        <f>(3180)+((1710)/3.5)</f>
        <v>3668.5714285714284</v>
      </c>
      <c r="F57" s="38">
        <f t="shared" si="7"/>
        <v>4.1682343534578323E-3</v>
      </c>
      <c r="G57" s="39">
        <f>(710)+((560)/3.5)</f>
        <v>870</v>
      </c>
      <c r="H57" s="38">
        <f t="shared" si="8"/>
        <v>5.5391382410643871E-3</v>
      </c>
      <c r="I57" s="39">
        <f>SUMIF('[3]AUCC fall enrolment data'!$A$3:$A$90,B57,'[3]AUCC fall enrolment data'!$AS$3:$AS$90)</f>
        <v>6930</v>
      </c>
      <c r="J57" s="36">
        <f t="shared" si="9"/>
        <v>7.0666000000000002</v>
      </c>
      <c r="K57" s="39">
        <f>VLOOKUP(B57,[3]Faculty!$B$7:$O$81,14,FALSE)</f>
        <v>190</v>
      </c>
      <c r="L57" s="40">
        <f t="shared" si="10"/>
        <v>5.0944000000000003</v>
      </c>
      <c r="M57" s="42">
        <f t="shared" si="11"/>
        <v>7</v>
      </c>
    </row>
    <row r="58" spans="1:13" x14ac:dyDescent="0.2">
      <c r="A58" s="33"/>
      <c r="B58" s="34" t="s">
        <v>49</v>
      </c>
      <c r="C58" s="35">
        <f>VLOOKUP(B58,[3]SponsoredResearch!$B$7:$Q$81,16,FALSE)</f>
        <v>23997</v>
      </c>
      <c r="D58" s="36">
        <f t="shared" si="6"/>
        <v>8.1577999999999999</v>
      </c>
      <c r="E58" s="37">
        <f>(3470)+((1960)/3.5)</f>
        <v>4030</v>
      </c>
      <c r="F58" s="38">
        <f t="shared" si="7"/>
        <v>4.5788898407727987E-3</v>
      </c>
      <c r="G58" s="39">
        <f>(670)+((430)/3.5)</f>
        <v>792.85714285714289</v>
      </c>
      <c r="H58" s="38">
        <f t="shared" si="8"/>
        <v>5.0479831260931609E-3</v>
      </c>
      <c r="I58" s="39">
        <f>SUMIF('[3]AUCC fall enrolment data'!$A$3:$A$90,B58,'[3]AUCC fall enrolment data'!$AS$3:$AS$90)</f>
        <v>5163.333333333333</v>
      </c>
      <c r="J58" s="36">
        <f t="shared" si="9"/>
        <v>6.3737000000000004</v>
      </c>
      <c r="K58" s="39">
        <f>VLOOKUP(B58,[3]Faculty!$B$7:$O$81,14,FALSE)</f>
        <v>235</v>
      </c>
      <c r="L58" s="40">
        <f t="shared" si="10"/>
        <v>5.7343999999999999</v>
      </c>
      <c r="M58" s="42">
        <f t="shared" si="11"/>
        <v>7</v>
      </c>
    </row>
    <row r="59" spans="1:13" x14ac:dyDescent="0.2">
      <c r="A59" s="33"/>
      <c r="B59" s="34" t="s">
        <v>50</v>
      </c>
      <c r="C59" s="35">
        <f>VLOOKUP(B59,[3]SponsoredResearch!$B$7:$Q$81,16,FALSE)</f>
        <v>8538</v>
      </c>
      <c r="D59" s="36">
        <f t="shared" si="6"/>
        <v>6.6992000000000003</v>
      </c>
      <c r="E59" s="37">
        <f>(6400)+((3220)/3.5)</f>
        <v>7320</v>
      </c>
      <c r="F59" s="38">
        <f t="shared" si="7"/>
        <v>8.3169909762920314E-3</v>
      </c>
      <c r="G59" s="39">
        <f>(150)+((330)/3.5)</f>
        <v>244.28571428571428</v>
      </c>
      <c r="H59" s="38">
        <f t="shared" si="8"/>
        <v>1.555324530742217E-3</v>
      </c>
      <c r="I59" s="39">
        <f>SUMIF('[3]AUCC fall enrolment data'!$A$3:$A$90,B59,'[3]AUCC fall enrolment data'!$AS$3:$AS$90)</f>
        <v>7891.9047619047624</v>
      </c>
      <c r="J59" s="36">
        <f t="shared" si="9"/>
        <v>7.3726000000000003</v>
      </c>
      <c r="K59" s="39">
        <f>VLOOKUP(B59,[3]Faculty!$B$7:$O$81,14,FALSE)</f>
        <v>333.66666666666669</v>
      </c>
      <c r="L59" s="40">
        <f t="shared" si="10"/>
        <v>6.7899000000000003</v>
      </c>
      <c r="M59" s="42">
        <f t="shared" si="11"/>
        <v>7</v>
      </c>
    </row>
    <row r="60" spans="1:13" x14ac:dyDescent="0.2">
      <c r="A60" s="33"/>
      <c r="B60" s="34" t="s">
        <v>51</v>
      </c>
      <c r="C60" s="35">
        <f>VLOOKUP(B60,[3]SponsoredResearch!$B$7:$Q$81,16,FALSE)</f>
        <v>12859</v>
      </c>
      <c r="D60" s="36">
        <f t="shared" si="6"/>
        <v>7.2773000000000003</v>
      </c>
      <c r="E60" s="37">
        <f>(6500)+((1000)/3.5)</f>
        <v>6785.7142857142853</v>
      </c>
      <c r="F60" s="38">
        <f t="shared" si="7"/>
        <v>7.7099350385220816E-3</v>
      </c>
      <c r="G60" s="39">
        <f>(380)+((60)/3.5)</f>
        <v>397.14285714285717</v>
      </c>
      <c r="H60" s="38">
        <f t="shared" si="8"/>
        <v>2.5285392955926105E-3</v>
      </c>
      <c r="I60" s="39">
        <f>SUMIF('[3]AUCC fall enrolment data'!$A$3:$A$90,B60,'[3]AUCC fall enrolment data'!$AS$3:$AS$90)</f>
        <v>8715.2380952380954</v>
      </c>
      <c r="J60" s="36">
        <f t="shared" si="9"/>
        <v>7.6062000000000003</v>
      </c>
      <c r="K60" s="39">
        <f>VLOOKUP(B60,[3]Faculty!$B$7:$O$81,14,FALSE)</f>
        <v>233.33333333333334</v>
      </c>
      <c r="L60" s="40">
        <f t="shared" si="10"/>
        <v>5.7130000000000001</v>
      </c>
      <c r="M60" s="42">
        <f t="shared" si="11"/>
        <v>7</v>
      </c>
    </row>
    <row r="61" spans="1:13" x14ac:dyDescent="0.2">
      <c r="A61" s="33"/>
      <c r="B61" s="34" t="s">
        <v>52</v>
      </c>
      <c r="C61" s="35">
        <f>VLOOKUP(B61,[3]SponsoredResearch!$B$7:$Q$81,16,FALSE)</f>
        <v>17842</v>
      </c>
      <c r="D61" s="36">
        <f t="shared" si="6"/>
        <v>7.7394999999999996</v>
      </c>
      <c r="E61" s="37">
        <f>(4470)+((4610)/3.5)</f>
        <v>5787.1428571428569</v>
      </c>
      <c r="F61" s="38">
        <f t="shared" si="7"/>
        <v>6.5753572296953586E-3</v>
      </c>
      <c r="G61" s="39">
        <f>(1400)+((1610)/3.5)</f>
        <v>1860</v>
      </c>
      <c r="H61" s="38">
        <f t="shared" si="8"/>
        <v>1.1842295549861794E-2</v>
      </c>
      <c r="I61" s="39">
        <f>SUMIF('[3]AUCC fall enrolment data'!$A$3:$A$90,B61,'[3]AUCC fall enrolment data'!$AS$3:$AS$90)</f>
        <v>8807.1428571428569</v>
      </c>
      <c r="J61" s="36">
        <f t="shared" si="9"/>
        <v>7.6308999999999996</v>
      </c>
      <c r="K61" s="39">
        <f>VLOOKUP(B61,[3]Faculty!$B$7:$O$81,14,FALSE)</f>
        <v>265.33333333333331</v>
      </c>
      <c r="L61" s="40">
        <f t="shared" si="10"/>
        <v>6.0998999999999999</v>
      </c>
      <c r="M61" s="42">
        <f t="shared" si="11"/>
        <v>7</v>
      </c>
    </row>
    <row r="62" spans="1:13" x14ac:dyDescent="0.2">
      <c r="A62" s="33"/>
      <c r="B62" s="34" t="s">
        <v>53</v>
      </c>
      <c r="C62" s="35">
        <f>VLOOKUP(B62,[3]SponsoredResearch!$B$7:$Q$81,16,FALSE)</f>
        <v>20717</v>
      </c>
      <c r="D62" s="36">
        <f t="shared" si="6"/>
        <v>7.9504000000000001</v>
      </c>
      <c r="E62" s="37">
        <f>(6500)+((1600)/3.5)</f>
        <v>6957.1428571428569</v>
      </c>
      <c r="F62" s="38">
        <f t="shared" si="7"/>
        <v>7.9047123447584296E-3</v>
      </c>
      <c r="G62" s="39">
        <f>(680)+((30)/3.5)</f>
        <v>688.57142857142856</v>
      </c>
      <c r="H62" s="38">
        <f t="shared" si="8"/>
        <v>4.3840141743727986E-3</v>
      </c>
      <c r="I62" s="39">
        <f>SUMIF('[3]AUCC fall enrolment data'!$A$3:$A$90,B62,'[3]AUCC fall enrolment data'!$AS$3:$AS$90)</f>
        <v>7496.666666666667</v>
      </c>
      <c r="J62" s="36">
        <f t="shared" si="9"/>
        <v>7.2515999999999998</v>
      </c>
      <c r="K62" s="39">
        <f>VLOOKUP(B62,[3]Faculty!$B$7:$O$81,14,FALSE)</f>
        <v>322.66666666666669</v>
      </c>
      <c r="L62" s="40">
        <f t="shared" si="10"/>
        <v>6.6890000000000001</v>
      </c>
      <c r="M62" s="42">
        <f t="shared" si="11"/>
        <v>7</v>
      </c>
    </row>
    <row r="63" spans="1:13" x14ac:dyDescent="0.2">
      <c r="A63" s="33"/>
      <c r="B63" s="53" t="s">
        <v>54</v>
      </c>
      <c r="C63" s="107">
        <f>VLOOKUP(B63,[3]SponsoredResearch!$B$7:$Q$81,16,FALSE)</f>
        <v>24296</v>
      </c>
      <c r="D63" s="108">
        <f t="shared" si="6"/>
        <v>8.1753</v>
      </c>
      <c r="E63" s="50">
        <f>(6400)+((2200)/3.5)</f>
        <v>7028.5714285714284</v>
      </c>
      <c r="F63" s="51">
        <f t="shared" si="7"/>
        <v>7.98586955569024E-3</v>
      </c>
      <c r="G63" s="52">
        <f>(410)+((380)/3.5)</f>
        <v>518.57142857142856</v>
      </c>
      <c r="H63" s="51">
        <f t="shared" si="8"/>
        <v>3.3016538284176889E-3</v>
      </c>
      <c r="I63" s="52">
        <f>SUMIF('[3]AUCC fall enrolment data'!$A$3:$A$90,B63,'[3]AUCC fall enrolment data'!$AS$3:$AS$90)</f>
        <v>7466.666666666667</v>
      </c>
      <c r="J63" s="108">
        <f t="shared" si="9"/>
        <v>7.2422000000000004</v>
      </c>
      <c r="K63" s="52">
        <f>VLOOKUP(B63,[3]Faculty!$B$7:$O$81,14,FALSE)</f>
        <v>368.66666666666669</v>
      </c>
      <c r="L63" s="109">
        <f t="shared" si="10"/>
        <v>7.0903</v>
      </c>
      <c r="M63" s="110">
        <f t="shared" si="11"/>
        <v>8</v>
      </c>
    </row>
    <row r="64" spans="1:13" x14ac:dyDescent="0.2">
      <c r="A64" s="33"/>
      <c r="B64" s="9" t="s">
        <v>55</v>
      </c>
      <c r="C64" s="35">
        <f>VLOOKUP(B64,[3]SponsoredResearch!$B$7:$Q$81,16,FALSE)</f>
        <v>72393</v>
      </c>
      <c r="D64" s="20">
        <f t="shared" si="6"/>
        <v>9.7164000000000001</v>
      </c>
      <c r="E64" s="46">
        <f>(4390)+((870)/3.5)</f>
        <v>4638.5714285714284</v>
      </c>
      <c r="F64" s="47">
        <f t="shared" si="7"/>
        <v>5.2703492779118313E-3</v>
      </c>
      <c r="G64" s="48">
        <f>(1430)+((250)/3.5)</f>
        <v>1501.4285714285713</v>
      </c>
      <c r="H64" s="47">
        <f t="shared" si="8"/>
        <v>9.559333811754795E-3</v>
      </c>
      <c r="I64" s="48">
        <f>SUMIF('[3]AUCC fall enrolment data'!$A$3:$A$90,B64,'[3]AUCC fall enrolment data'!$AS$3:$AS$90)</f>
        <v>7144.2857142857147</v>
      </c>
      <c r="J64" s="36">
        <f t="shared" si="9"/>
        <v>7.1383000000000001</v>
      </c>
      <c r="K64" s="39">
        <f>VLOOKUP(B64,[3]Faculty!$B$7:$O$81,14,FALSE)</f>
        <v>245</v>
      </c>
      <c r="L64" s="49">
        <f t="shared" si="10"/>
        <v>5.8598999999999997</v>
      </c>
      <c r="M64" s="42">
        <f t="shared" si="11"/>
        <v>8</v>
      </c>
    </row>
    <row r="65" spans="1:13" x14ac:dyDescent="0.2">
      <c r="A65" s="33"/>
      <c r="B65" s="34" t="s">
        <v>56</v>
      </c>
      <c r="C65" s="35">
        <f>VLOOKUP(B65,[3]SponsoredResearch!$B$7:$Q$81,16,FALSE)</f>
        <v>18401</v>
      </c>
      <c r="D65" s="36">
        <f t="shared" si="6"/>
        <v>7.7831000000000001</v>
      </c>
      <c r="E65" s="37">
        <f>(6930)+((650)/3.5)</f>
        <v>7115.7142857142853</v>
      </c>
      <c r="F65" s="38">
        <f t="shared" si="7"/>
        <v>8.0848813530270507E-3</v>
      </c>
      <c r="G65" s="39">
        <f>(330)+((180)/3.5)</f>
        <v>381.42857142857144</v>
      </c>
      <c r="H65" s="38">
        <f t="shared" si="8"/>
        <v>2.4284891795799532E-3</v>
      </c>
      <c r="I65" s="39">
        <f>SUMIF('[3]AUCC fall enrolment data'!$A$3:$A$90,B65,'[3]AUCC fall enrolment data'!$AS$3:$AS$90)</f>
        <v>8100.4761904761908</v>
      </c>
      <c r="J65" s="36">
        <f t="shared" si="9"/>
        <v>7.4340000000000002</v>
      </c>
      <c r="K65" s="39">
        <f>VLOOKUP(B65,[3]Faculty!$B$7:$O$81,14,FALSE)</f>
        <v>443</v>
      </c>
      <c r="L65" s="40">
        <f t="shared" si="10"/>
        <v>7.6433</v>
      </c>
      <c r="M65" s="42">
        <f t="shared" si="11"/>
        <v>8</v>
      </c>
    </row>
    <row r="66" spans="1:13" x14ac:dyDescent="0.2">
      <c r="A66" s="33"/>
      <c r="B66" s="34" t="s">
        <v>57</v>
      </c>
      <c r="C66" s="35">
        <f>VLOOKUP(B66,[3]SponsoredResearch!$B$7:$Q$81,16,FALSE)</f>
        <v>20437</v>
      </c>
      <c r="D66" s="36">
        <f t="shared" si="6"/>
        <v>7.9311999999999996</v>
      </c>
      <c r="E66" s="37">
        <f>(6350)+((3880)/3.5)</f>
        <v>7458.5714285714284</v>
      </c>
      <c r="F66" s="38">
        <f t="shared" si="7"/>
        <v>8.474435965499745E-3</v>
      </c>
      <c r="G66" s="39">
        <f>(1190)+((740)/3.5)</f>
        <v>1401.4285714285713</v>
      </c>
      <c r="H66" s="38">
        <f t="shared" si="8"/>
        <v>8.9226512553106131E-3</v>
      </c>
      <c r="I66" s="39">
        <f>SUMIF('[3]AUCC fall enrolment data'!$A$3:$A$90,B66,'[3]AUCC fall enrolment data'!$AS$3:$AS$90)</f>
        <v>10320</v>
      </c>
      <c r="J66" s="36">
        <f t="shared" si="9"/>
        <v>8.0042000000000009</v>
      </c>
      <c r="K66" s="39">
        <f>VLOOKUP(B66,[3]Faculty!$B$7:$O$81,14,FALSE)</f>
        <v>415.33333333333331</v>
      </c>
      <c r="L66" s="40">
        <f t="shared" si="10"/>
        <v>7.4492000000000003</v>
      </c>
      <c r="M66" s="42">
        <f t="shared" si="11"/>
        <v>8</v>
      </c>
    </row>
    <row r="67" spans="1:13" x14ac:dyDescent="0.2">
      <c r="A67" s="33"/>
      <c r="B67" s="34" t="s">
        <v>58</v>
      </c>
      <c r="C67" s="35">
        <f>VLOOKUP(B67,[3]SponsoredResearch!$B$7:$Q$81,16,FALSE)</f>
        <v>16135</v>
      </c>
      <c r="D67" s="36">
        <f t="shared" si="6"/>
        <v>7.5975999999999999</v>
      </c>
      <c r="E67" s="37">
        <f>((9150)+((2150)/3.5))+ (660+(90/3.5))</f>
        <v>10450</v>
      </c>
      <c r="F67" s="38">
        <f t="shared" si="7"/>
        <v>1.1873299959324006E-2</v>
      </c>
      <c r="G67" s="39">
        <f>((760)+((810)/3.5))</f>
        <v>991.42857142857144</v>
      </c>
      <c r="H67" s="38">
        <f t="shared" si="8"/>
        <v>6.3122527738894664E-3</v>
      </c>
      <c r="I67" s="39">
        <f>SUMIF('[3]AUCC fall enrolment data'!$A$3:$A$90,B67,'[3]AUCC fall enrolment data'!$AS$3:$AS$90)</f>
        <v>11218.571428571428</v>
      </c>
      <c r="J67" s="36">
        <f t="shared" si="9"/>
        <v>8.2006999999999994</v>
      </c>
      <c r="K67" s="39">
        <f>VLOOKUP(B67,[3]Faculty!$B$7:$O$81,14,FALSE)</f>
        <v>465.66666666666669</v>
      </c>
      <c r="L67" s="40">
        <f t="shared" si="10"/>
        <v>7.7935999999999996</v>
      </c>
      <c r="M67" s="42">
        <f t="shared" si="11"/>
        <v>8</v>
      </c>
    </row>
    <row r="68" spans="1:13" x14ac:dyDescent="0.2">
      <c r="A68" s="33"/>
      <c r="B68" s="34" t="s">
        <v>59</v>
      </c>
      <c r="C68" s="35">
        <f>VLOOKUP(B68,[3]SponsoredResearch!$B$7:$Q$81,16,FALSE)</f>
        <v>14500</v>
      </c>
      <c r="D68" s="36">
        <f t="shared" si="6"/>
        <v>7.4467999999999996</v>
      </c>
      <c r="E68" s="37">
        <f>(14800)+((2000)/3.5)</f>
        <v>15371.428571428571</v>
      </c>
      <c r="F68" s="38">
        <f t="shared" si="7"/>
        <v>1.7465031792525811E-2</v>
      </c>
      <c r="G68" s="39">
        <f>(910)+((640)/3.5)</f>
        <v>1092.8571428571429</v>
      </c>
      <c r="H68" s="38">
        <f t="shared" si="8"/>
        <v>6.9580307954257084E-3</v>
      </c>
      <c r="I68" s="39">
        <f>SUMIF('[3]AUCC fall enrolment data'!$A$3:$A$90,B68,'[3]AUCC fall enrolment data'!$AS$3:$AS$90)</f>
        <v>17244.285714285714</v>
      </c>
      <c r="J68" s="36">
        <f t="shared" si="9"/>
        <v>9.2128999999999994</v>
      </c>
      <c r="K68" s="39">
        <f>VLOOKUP(B68,[3]Faculty!$B$7:$O$81,14,FALSE)</f>
        <v>542.66666666666663</v>
      </c>
      <c r="L68" s="40">
        <f t="shared" si="10"/>
        <v>8.2544000000000004</v>
      </c>
      <c r="M68" s="42">
        <f t="shared" si="11"/>
        <v>8</v>
      </c>
    </row>
    <row r="69" spans="1:13" x14ac:dyDescent="0.2">
      <c r="A69" s="33"/>
      <c r="B69" s="34" t="s">
        <v>60</v>
      </c>
      <c r="C69" s="35">
        <f>VLOOKUP(B69,[3]SponsoredResearch!$B$7:$Q$81,16,FALSE)</f>
        <v>13744</v>
      </c>
      <c r="D69" s="36">
        <f t="shared" si="6"/>
        <v>7.3712</v>
      </c>
      <c r="E69" s="37">
        <f>(14600)+((2100)/3.5)</f>
        <v>15200</v>
      </c>
      <c r="F69" s="38">
        <f t="shared" si="7"/>
        <v>1.7270254486289462E-2</v>
      </c>
      <c r="G69" s="39">
        <f>(1000)+((500)/3.5)</f>
        <v>1142.8571428571429</v>
      </c>
      <c r="H69" s="38">
        <f t="shared" si="8"/>
        <v>7.2763720736477994E-3</v>
      </c>
      <c r="I69" s="39">
        <f>SUMIF('[3]AUCC fall enrolment data'!$A$3:$A$90,B69,'[3]AUCC fall enrolment data'!$AS$3:$AS$90)</f>
        <v>16971.428571428569</v>
      </c>
      <c r="J69" s="36">
        <f t="shared" si="9"/>
        <v>9.1753999999999998</v>
      </c>
      <c r="K69" s="39">
        <f>VLOOKUP(B69,[3]Faculty!$B$7:$O$81,14,FALSE)</f>
        <v>572.66666666666663</v>
      </c>
      <c r="L69" s="40">
        <f t="shared" si="10"/>
        <v>8.4163999999999994</v>
      </c>
      <c r="M69" s="42">
        <f t="shared" si="11"/>
        <v>8</v>
      </c>
    </row>
    <row r="70" spans="1:13" x14ac:dyDescent="0.2">
      <c r="A70" s="33"/>
      <c r="B70" s="9" t="s">
        <v>61</v>
      </c>
      <c r="C70" s="35">
        <f>VLOOKUP(B70,[3]SponsoredResearch!$B$7:$Q$81,16,FALSE)</f>
        <v>28645</v>
      </c>
      <c r="D70" s="20">
        <f t="shared" si="6"/>
        <v>8.4077000000000002</v>
      </c>
      <c r="E70" s="46">
        <f>(11700)+((2400)/3.5)</f>
        <v>12385.714285714286</v>
      </c>
      <c r="F70" s="47">
        <f t="shared" si="7"/>
        <v>1.4072660375576095E-2</v>
      </c>
      <c r="G70" s="48">
        <f>(1700)+((120)/3.5)</f>
        <v>1734.2857142857142</v>
      </c>
      <c r="H70" s="47">
        <f t="shared" si="8"/>
        <v>1.1041894621760535E-2</v>
      </c>
      <c r="I70" s="48">
        <f>SUMIF('[3]AUCC fall enrolment data'!$A$3:$A$90,B70,'[3]AUCC fall enrolment data'!$AS$3:$AS$90)</f>
        <v>14633.333333333334</v>
      </c>
      <c r="J70" s="36">
        <f t="shared" si="9"/>
        <v>8.8263999999999996</v>
      </c>
      <c r="K70" s="39">
        <f>VLOOKUP(B70,[3]Faculty!$B$7:$O$81,14,FALSE)</f>
        <v>506.33333333333331</v>
      </c>
      <c r="L70" s="49">
        <f t="shared" si="10"/>
        <v>8.0457000000000001</v>
      </c>
      <c r="M70" s="42">
        <f t="shared" si="11"/>
        <v>8</v>
      </c>
    </row>
    <row r="71" spans="1:13" x14ac:dyDescent="0.2">
      <c r="A71" s="33"/>
      <c r="B71" s="34" t="s">
        <v>62</v>
      </c>
      <c r="C71" s="35">
        <f>VLOOKUP(B71,[3]SponsoredResearch!$B$7:$Q$81,16,FALSE)</f>
        <v>43242</v>
      </c>
      <c r="D71" s="36">
        <f t="shared" si="6"/>
        <v>8.9890000000000008</v>
      </c>
      <c r="E71" s="37">
        <f>(2490+(160/3.5))+((8250)+((1010)/3.5))</f>
        <v>11074.285714285716</v>
      </c>
      <c r="F71" s="38">
        <f t="shared" si="7"/>
        <v>1.2582613982868038E-2</v>
      </c>
      <c r="G71" s="39">
        <f>990+((460)/3.5)</f>
        <v>1121.4285714285713</v>
      </c>
      <c r="H71" s="38">
        <f t="shared" si="8"/>
        <v>7.1399400972669029E-3</v>
      </c>
      <c r="I71" s="39">
        <f>SUMIF('[3]AUCC fall enrolment data'!$A$3:$A$90,B71,'[3]AUCC fall enrolment data'!$AS$3:$AS$90)</f>
        <v>10623.809523809523</v>
      </c>
      <c r="J71" s="36">
        <f t="shared" si="9"/>
        <v>8.0724999999999998</v>
      </c>
      <c r="K71" s="39">
        <f>VLOOKUP(B71,[3]Faculty!$B$7:$O$81,14,FALSE)</f>
        <v>635.66666666666663</v>
      </c>
      <c r="L71" s="40">
        <f t="shared" si="10"/>
        <v>8.7306000000000008</v>
      </c>
      <c r="M71" s="42">
        <f t="shared" si="11"/>
        <v>9</v>
      </c>
    </row>
    <row r="72" spans="1:13" x14ac:dyDescent="0.2">
      <c r="A72" s="33"/>
      <c r="B72" s="34" t="s">
        <v>63</v>
      </c>
      <c r="C72" s="35">
        <f>VLOOKUP(B72,[3]SponsoredResearch!$B$7:$Q$81,16,FALSE)</f>
        <v>105785</v>
      </c>
      <c r="D72" s="36">
        <f t="shared" si="6"/>
        <v>10.2517</v>
      </c>
      <c r="E72" s="37">
        <f>(12870)+((4280)/3.5)</f>
        <v>14092.857142857143</v>
      </c>
      <c r="F72" s="38">
        <f t="shared" si="7"/>
        <v>1.6012317716846386E-2</v>
      </c>
      <c r="G72" s="39">
        <f>(2940)+((230)/3.5)</f>
        <v>3005.7142857142858</v>
      </c>
      <c r="H72" s="38">
        <f t="shared" si="8"/>
        <v>1.9136858553693712E-2</v>
      </c>
      <c r="I72" s="39">
        <f>SUMIF('[3]AUCC fall enrolment data'!$A$3:$A$90,B72,'[3]AUCC fall enrolment data'!$AS$3:$AS$90)</f>
        <v>18579.047619047618</v>
      </c>
      <c r="J72" s="36">
        <f t="shared" si="9"/>
        <v>9.3885000000000005</v>
      </c>
      <c r="K72" s="39">
        <f>VLOOKUP(B72,[3]Faculty!$B$7:$O$81,14,FALSE)</f>
        <v>742.66666666666663</v>
      </c>
      <c r="L72" s="40">
        <f t="shared" si="10"/>
        <v>9.1990999999999996</v>
      </c>
      <c r="M72" s="42">
        <f t="shared" si="11"/>
        <v>10</v>
      </c>
    </row>
    <row r="73" spans="1:13" x14ac:dyDescent="0.2">
      <c r="A73" s="33"/>
      <c r="B73" s="34" t="s">
        <v>64</v>
      </c>
      <c r="C73" s="35">
        <f>VLOOKUP(B73,[3]SponsoredResearch!$B$7:$Q$81,16,FALSE)</f>
        <v>56128</v>
      </c>
      <c r="D73" s="36">
        <f t="shared" si="6"/>
        <v>9.3572000000000006</v>
      </c>
      <c r="E73" s="37">
        <f>(19100)+((4000)/3.5)</f>
        <v>20242.857142857141</v>
      </c>
      <c r="F73" s="38">
        <f t="shared" si="7"/>
        <v>2.2999953578075345E-2</v>
      </c>
      <c r="G73" s="39">
        <f>(2850)+((750)/3.5)</f>
        <v>3064.2857142857142</v>
      </c>
      <c r="H73" s="38">
        <f t="shared" si="8"/>
        <v>1.9509772622468162E-2</v>
      </c>
      <c r="I73" s="39">
        <f>SUMIF('[3]AUCC fall enrolment data'!$A$3:$A$90,B73,'[3]AUCC fall enrolment data'!$AS$3:$AS$90)</f>
        <v>26863.809523809523</v>
      </c>
      <c r="J73" s="36">
        <f t="shared" si="9"/>
        <v>10.2567</v>
      </c>
      <c r="K73" s="39">
        <f>VLOOKUP(B73,[3]Faculty!$B$7:$O$81,14,FALSE)</f>
        <v>874.66666666666663</v>
      </c>
      <c r="L73" s="40">
        <f t="shared" si="10"/>
        <v>9.6917000000000009</v>
      </c>
      <c r="M73" s="42">
        <f t="shared" si="11"/>
        <v>10</v>
      </c>
    </row>
    <row r="74" spans="1:13" x14ac:dyDescent="0.2">
      <c r="A74" s="33"/>
      <c r="B74" s="34" t="s">
        <v>65</v>
      </c>
      <c r="C74" s="35">
        <f>VLOOKUP(B74,[3]SponsoredResearch!$B$7:$Q$81,16,FALSE)</f>
        <v>46592</v>
      </c>
      <c r="D74" s="36">
        <f t="shared" si="6"/>
        <v>9.0944000000000003</v>
      </c>
      <c r="E74" s="37">
        <f>(19400)+((14200)/3.5)</f>
        <v>23457.142857142859</v>
      </c>
      <c r="F74" s="38">
        <f t="shared" si="7"/>
        <v>2.6652028070006863E-2</v>
      </c>
      <c r="G74" s="39">
        <f>(1900)+((400)/3.5)</f>
        <v>2014.2857142857142</v>
      </c>
      <c r="H74" s="38">
        <f t="shared" si="8"/>
        <v>1.2824605779804247E-2</v>
      </c>
      <c r="I74" s="39">
        <f>SUMIF('[3]AUCC fall enrolment data'!$A$3:$A$90,B74,'[3]AUCC fall enrolment data'!$AS$3:$AS$90)</f>
        <v>33254.285714285717</v>
      </c>
      <c r="J74" s="36">
        <f t="shared" si="9"/>
        <v>10.7591</v>
      </c>
      <c r="K74" s="39">
        <f>VLOOKUP(B74,[3]Faculty!$B$7:$O$81,14,FALSE)</f>
        <v>1014.3333333333334</v>
      </c>
      <c r="L74" s="40">
        <f t="shared" si="10"/>
        <v>10.137700000000001</v>
      </c>
      <c r="M74" s="42">
        <f t="shared" si="11"/>
        <v>10</v>
      </c>
    </row>
    <row r="75" spans="1:13" x14ac:dyDescent="0.2">
      <c r="A75" s="33"/>
      <c r="B75" s="34" t="s">
        <v>66</v>
      </c>
      <c r="C75" s="35">
        <f>VLOOKUP(B75,[3]SponsoredResearch!$B$7:$Q$81,16,FALSE)</f>
        <v>102450</v>
      </c>
      <c r="D75" s="36">
        <f t="shared" si="6"/>
        <v>10.2065</v>
      </c>
      <c r="E75" s="37">
        <f>(12980)+((2450)/3.5)</f>
        <v>13680</v>
      </c>
      <c r="F75" s="38">
        <f t="shared" si="7"/>
        <v>1.5543229037660517E-2</v>
      </c>
      <c r="G75" s="39">
        <f>(1980)+((1290)/3.5)</f>
        <v>2348.5714285714284</v>
      </c>
      <c r="H75" s="38">
        <f t="shared" si="8"/>
        <v>1.4952944611346226E-2</v>
      </c>
      <c r="I75" s="39">
        <f>SUMIF('[3]AUCC fall enrolment data'!$A$3:$A$90,B75,'[3]AUCC fall enrolment data'!$AS$3:$AS$90)</f>
        <v>15877.619047619048</v>
      </c>
      <c r="J75" s="36">
        <f t="shared" si="9"/>
        <v>9.0184999999999995</v>
      </c>
      <c r="K75" s="39">
        <f>VLOOKUP(B75,[3]Faculty!$B$7:$O$81,14,FALSE)</f>
        <v>990.66666666666663</v>
      </c>
      <c r="L75" s="40">
        <f t="shared" si="10"/>
        <v>10.066599999999999</v>
      </c>
      <c r="M75" s="42">
        <f t="shared" si="11"/>
        <v>10</v>
      </c>
    </row>
    <row r="76" spans="1:13" x14ac:dyDescent="0.2">
      <c r="A76" s="33"/>
      <c r="B76" s="34" t="s">
        <v>67</v>
      </c>
      <c r="C76" s="35">
        <f>VLOOKUP(B76,[3]SponsoredResearch!$B$7:$Q$81,16,FALSE)</f>
        <v>49909</v>
      </c>
      <c r="D76" s="36">
        <f t="shared" si="6"/>
        <v>9.1913999999999998</v>
      </c>
      <c r="E76" s="37">
        <f>(20750)+((9260)/3.5)</f>
        <v>23395.714285714286</v>
      </c>
      <c r="F76" s="38">
        <f t="shared" si="7"/>
        <v>2.6582232868605501E-2</v>
      </c>
      <c r="G76" s="39">
        <f>(4150)+((1050)/3.5)</f>
        <v>4450</v>
      </c>
      <c r="H76" s="38">
        <f t="shared" si="8"/>
        <v>2.833237376176612E-2</v>
      </c>
      <c r="I76" s="39">
        <f>SUMIF('[3]AUCC fall enrolment data'!$A$3:$A$90,B76,'[3]AUCC fall enrolment data'!$AS$3:$AS$90)</f>
        <v>30710</v>
      </c>
      <c r="J76" s="36">
        <f t="shared" si="9"/>
        <v>10.5717</v>
      </c>
      <c r="K76" s="39">
        <f>VLOOKUP(B76,[3]Faculty!$B$7:$O$81,14,FALSE)</f>
        <v>992.66666666666663</v>
      </c>
      <c r="L76" s="40">
        <f t="shared" si="10"/>
        <v>10.072699999999999</v>
      </c>
      <c r="M76" s="42">
        <f t="shared" si="11"/>
        <v>10</v>
      </c>
    </row>
    <row r="77" spans="1:13" x14ac:dyDescent="0.2">
      <c r="A77" s="33"/>
      <c r="B77" s="34" t="s">
        <v>68</v>
      </c>
      <c r="C77" s="35">
        <f>VLOOKUP(B77,[3]SponsoredResearch!$B$7:$Q$81,16,FALSE)</f>
        <v>122095</v>
      </c>
      <c r="D77" s="36">
        <f t="shared" si="6"/>
        <v>10.4541</v>
      </c>
      <c r="E77" s="37">
        <f>(13460)+((11650)/3.5)</f>
        <v>16788.571428571428</v>
      </c>
      <c r="F77" s="38">
        <f t="shared" si="7"/>
        <v>1.9075190857412948E-2</v>
      </c>
      <c r="G77" s="39">
        <f>(3720)+((890)/3.5)</f>
        <v>3974.2857142857142</v>
      </c>
      <c r="H77" s="38">
        <f t="shared" si="8"/>
        <v>2.5303583886110221E-2</v>
      </c>
      <c r="I77" s="39">
        <f>SUMIF('[3]AUCC fall enrolment data'!$A$3:$A$90,B77,'[3]AUCC fall enrolment data'!$AS$3:$AS$90)</f>
        <v>20610.476190476187</v>
      </c>
      <c r="J77" s="36">
        <f t="shared" si="9"/>
        <v>9.6327999999999996</v>
      </c>
      <c r="K77" s="39">
        <f>VLOOKUP(B77,[3]Faculty!$B$7:$O$81,14,FALSE)</f>
        <v>877.66666666666663</v>
      </c>
      <c r="L77" s="40">
        <f t="shared" si="10"/>
        <v>9.702</v>
      </c>
      <c r="M77" s="42">
        <f t="shared" si="11"/>
        <v>10</v>
      </c>
    </row>
    <row r="78" spans="1:13" x14ac:dyDescent="0.2">
      <c r="A78" s="33"/>
      <c r="B78" s="34" t="s">
        <v>69</v>
      </c>
      <c r="C78" s="35">
        <f>VLOOKUP(B78,[3]SponsoredResearch!$B$7:$Q$81,16,FALSE)</f>
        <v>129494</v>
      </c>
      <c r="D78" s="36">
        <f t="shared" si="6"/>
        <v>10.537100000000001</v>
      </c>
      <c r="E78" s="37">
        <f>(10450)+((3090)/3.5)</f>
        <v>11332.857142857143</v>
      </c>
      <c r="F78" s="38">
        <f t="shared" si="7"/>
        <v>1.2876403086441194E-2</v>
      </c>
      <c r="G78" s="39">
        <f>(4250)+((4350)/3.5)</f>
        <v>5492.8571428571431</v>
      </c>
      <c r="H78" s="38">
        <f t="shared" si="8"/>
        <v>3.4972063278969741E-2</v>
      </c>
      <c r="I78" s="39">
        <f>SUMIF('[3]AUCC fall enrolment data'!$A$3:$A$90,B78,'[3]AUCC fall enrolment data'!$AS$3:$AS$90)</f>
        <v>19049.047619047622</v>
      </c>
      <c r="J78" s="36">
        <f t="shared" si="9"/>
        <v>9.4473000000000003</v>
      </c>
      <c r="K78" s="39">
        <f>VLOOKUP(B78,[3]Faculty!$B$7:$O$81,14,FALSE)</f>
        <v>1111.6666666666667</v>
      </c>
      <c r="L78" s="40">
        <f t="shared" si="10"/>
        <v>10.413600000000001</v>
      </c>
      <c r="M78" s="42">
        <f t="shared" si="11"/>
        <v>10</v>
      </c>
    </row>
    <row r="79" spans="1:13" x14ac:dyDescent="0.2">
      <c r="A79" s="33"/>
      <c r="B79" s="34" t="s">
        <v>70</v>
      </c>
      <c r="C79" s="35">
        <f>VLOOKUP(B79,[3]SponsoredResearch!$B$7:$Q$81,16,FALSE)</f>
        <v>142468</v>
      </c>
      <c r="D79" s="36">
        <f t="shared" si="6"/>
        <v>10.671900000000001</v>
      </c>
      <c r="E79" s="37">
        <f>(12210)+((1270)/3.5)+936</f>
        <v>13508.857142857143</v>
      </c>
      <c r="F79" s="38">
        <f t="shared" si="7"/>
        <v>1.5348776360267897E-2</v>
      </c>
      <c r="G79" s="39">
        <f>(3070)+((710)/3.5)+936</f>
        <v>4208.8571428571431</v>
      </c>
      <c r="H79" s="38">
        <f t="shared" si="8"/>
        <v>2.6797059254226433E-2</v>
      </c>
      <c r="I79" s="39">
        <f>SUMIF('[3]AUCC fall enrolment data'!$A$3:$A$90,B79,'[3]AUCC fall enrolment data'!$AS$3:$AS$90)</f>
        <v>18257.142857142859</v>
      </c>
      <c r="J79" s="36">
        <f t="shared" si="9"/>
        <v>9.3473000000000006</v>
      </c>
      <c r="K79" s="39">
        <f>VLOOKUP(B79,[3]Faculty!$B$7:$O$81,14,FALSE)</f>
        <v>1005</v>
      </c>
      <c r="L79" s="40">
        <f t="shared" si="10"/>
        <v>10.1099</v>
      </c>
      <c r="M79" s="42">
        <f t="shared" si="11"/>
        <v>10</v>
      </c>
    </row>
    <row r="80" spans="1:13" x14ac:dyDescent="0.2">
      <c r="A80" s="33"/>
      <c r="B80" s="34" t="s">
        <v>71</v>
      </c>
      <c r="C80" s="35">
        <f>VLOOKUP(B80,[3]SponsoredResearch!$B$7:$Q$81,16,FALSE)</f>
        <v>66167</v>
      </c>
      <c r="D80" s="36">
        <f t="shared" si="6"/>
        <v>9.5893999999999995</v>
      </c>
      <c r="E80" s="37">
        <f>(20200)+((13700)/3.5)</f>
        <v>24114.285714285714</v>
      </c>
      <c r="F80" s="38">
        <f t="shared" si="7"/>
        <v>2.7398674410579523E-2</v>
      </c>
      <c r="G80" s="39">
        <f>(3890)+((3010)/3.5)</f>
        <v>4750</v>
      </c>
      <c r="H80" s="38">
        <f t="shared" si="8"/>
        <v>3.0242421431098666E-2</v>
      </c>
      <c r="I80" s="39">
        <f>SUMIF('[3]AUCC fall enrolment data'!$A$3:$A$90,B80,'[3]AUCC fall enrolment data'!$AS$3:$AS$90)</f>
        <v>29352.857142857141</v>
      </c>
      <c r="J80" s="36">
        <f t="shared" si="9"/>
        <v>10.465299999999999</v>
      </c>
      <c r="K80" s="39">
        <f>VLOOKUP(B80,[3]Faculty!$B$7:$O$81,14,FALSE)</f>
        <v>1052.6666666666667</v>
      </c>
      <c r="L80" s="40">
        <f t="shared" si="10"/>
        <v>10.2494</v>
      </c>
      <c r="M80" s="42">
        <f t="shared" si="11"/>
        <v>10</v>
      </c>
    </row>
    <row r="81" spans="1:13" x14ac:dyDescent="0.2">
      <c r="A81" s="33"/>
      <c r="B81" s="34" t="s">
        <v>72</v>
      </c>
      <c r="C81" s="35">
        <f>VLOOKUP(B81,[3]SponsoredResearch!$B$7:$Q$81,16,FALSE)</f>
        <v>144262</v>
      </c>
      <c r="D81" s="36">
        <f t="shared" si="6"/>
        <v>10.6896</v>
      </c>
      <c r="E81" s="37">
        <f>(22000)+((2300)/3.5)</f>
        <v>22657.142857142859</v>
      </c>
      <c r="F81" s="38">
        <f t="shared" si="7"/>
        <v>2.5743067307570575E-2</v>
      </c>
      <c r="G81" s="39">
        <f>(2400)+((250)/3.5)</f>
        <v>2471.4285714285716</v>
      </c>
      <c r="H81" s="38">
        <f t="shared" si="8"/>
        <v>1.5735154609263367E-2</v>
      </c>
      <c r="I81" s="39">
        <f>SUMIF('[3]AUCC fall enrolment data'!$A$3:$A$90,B81,'[3]AUCC fall enrolment data'!$AS$3:$AS$90)</f>
        <v>27633.333333333332</v>
      </c>
      <c r="J81" s="36">
        <f t="shared" si="9"/>
        <v>10.3232</v>
      </c>
      <c r="K81" s="39">
        <f>VLOOKUP(B81,[3]Faculty!$B$7:$O$81,14,FALSE)</f>
        <v>773</v>
      </c>
      <c r="L81" s="40">
        <f t="shared" si="10"/>
        <v>9.3195999999999994</v>
      </c>
      <c r="M81" s="42">
        <f t="shared" si="11"/>
        <v>10</v>
      </c>
    </row>
    <row r="82" spans="1:13" x14ac:dyDescent="0.2">
      <c r="A82" s="33"/>
      <c r="B82" s="34" t="s">
        <v>73</v>
      </c>
      <c r="C82" s="35">
        <f>VLOOKUP(B82,[3]SponsoredResearch!$B$7:$Q$81,16,FALSE)</f>
        <v>182060</v>
      </c>
      <c r="D82" s="36">
        <f t="shared" si="6"/>
        <v>11.018000000000001</v>
      </c>
      <c r="E82" s="37">
        <f>(16400)+((3700)/3.5)</f>
        <v>17457.142857142859</v>
      </c>
      <c r="F82" s="38">
        <f t="shared" si="7"/>
        <v>1.9834822351734706E-2</v>
      </c>
      <c r="G82" s="39">
        <f>(4400)+((300)/3.5)</f>
        <v>4485.7142857142853</v>
      </c>
      <c r="H82" s="38">
        <f t="shared" si="8"/>
        <v>2.8559760389067611E-2</v>
      </c>
      <c r="I82" s="39">
        <f>SUMIF('[3]AUCC fall enrolment data'!$A$3:$A$90,B82,'[3]AUCC fall enrolment data'!$AS$3:$AS$90)</f>
        <v>25756.190476190473</v>
      </c>
      <c r="J82" s="36">
        <f t="shared" si="9"/>
        <v>10.157500000000001</v>
      </c>
      <c r="K82" s="39">
        <f>VLOOKUP(B82,[3]Faculty!$B$7:$O$81,14,FALSE)</f>
        <v>776.33333333333337</v>
      </c>
      <c r="L82" s="40">
        <f t="shared" si="10"/>
        <v>9.3325999999999993</v>
      </c>
      <c r="M82" s="42">
        <f t="shared" si="11"/>
        <v>10</v>
      </c>
    </row>
    <row r="83" spans="1:13" x14ac:dyDescent="0.2">
      <c r="A83" s="33"/>
      <c r="B83" s="34" t="s">
        <v>74</v>
      </c>
      <c r="C83" s="35">
        <f>VLOOKUP(B83,[3]SponsoredResearch!$B$7:$Q$81,16,FALSE)</f>
        <v>190379</v>
      </c>
      <c r="D83" s="36">
        <f t="shared" si="6"/>
        <v>11.081099999999999</v>
      </c>
      <c r="E83" s="37">
        <f>((13560)+((3410)/3.5))+(1000+(260/3.5))</f>
        <v>15608.571428571428</v>
      </c>
      <c r="F83" s="38">
        <f t="shared" si="7"/>
        <v>1.7734473732819424E-2</v>
      </c>
      <c r="G83" s="39">
        <f>((2420)+((490)/3.5))</f>
        <v>2560</v>
      </c>
      <c r="H83" s="38">
        <f t="shared" si="8"/>
        <v>1.6299073444971071E-2</v>
      </c>
      <c r="I83" s="39">
        <f>SUMIF('[3]AUCC fall enrolment data'!$A$3:$A$90,B83,'[3]AUCC fall enrolment data'!$AS$3:$AS$90)</f>
        <v>19874.761904761905</v>
      </c>
      <c r="J83" s="36">
        <f t="shared" si="9"/>
        <v>9.5472000000000001</v>
      </c>
      <c r="K83" s="39">
        <f>VLOOKUP(B83,[3]Faculty!$B$7:$O$81,14,FALSE)</f>
        <v>1019.3333333333334</v>
      </c>
      <c r="L83" s="40">
        <f t="shared" si="10"/>
        <v>10.1525</v>
      </c>
      <c r="M83" s="42">
        <f t="shared" si="11"/>
        <v>10</v>
      </c>
    </row>
    <row r="84" spans="1:13" x14ac:dyDescent="0.2">
      <c r="A84" s="33"/>
      <c r="B84" s="9" t="s">
        <v>75</v>
      </c>
      <c r="C84" s="35">
        <f>VLOOKUP(B84,[3]SponsoredResearch!$B$7:$Q$81,16,FALSE)</f>
        <v>179963</v>
      </c>
      <c r="D84" s="36">
        <f t="shared" si="6"/>
        <v>11.0017</v>
      </c>
      <c r="E84" s="37">
        <f>(20430)+((4050)/3.5)</f>
        <v>21587.142857142859</v>
      </c>
      <c r="F84" s="38">
        <f t="shared" si="7"/>
        <v>2.452733228781204E-2</v>
      </c>
      <c r="G84" s="39">
        <f>(2660)+((740)/3.5)</f>
        <v>2871.4285714285716</v>
      </c>
      <c r="H84" s="38">
        <f t="shared" si="8"/>
        <v>1.8281884835040098E-2</v>
      </c>
      <c r="I84" s="39">
        <f>SUMIF('[3]AUCC fall enrolment data'!$A$3:$A$90,B84,'[3]AUCC fall enrolment data'!$AS$3:$AS$90)</f>
        <v>26669.047619047618</v>
      </c>
      <c r="J84" s="36">
        <f t="shared" si="9"/>
        <v>10.2395</v>
      </c>
      <c r="K84" s="39">
        <f>VLOOKUP(B84,[3]Faculty!$B$7:$O$81,14,FALSE)</f>
        <v>1143</v>
      </c>
      <c r="L84" s="40">
        <f>ROUND(IF(0.5+LOG(K84/K$101,K$103)&lt;1,1,0.5+LOG(K84/K$101,K$103)),4)</f>
        <v>10.497299999999999</v>
      </c>
      <c r="M84" s="42">
        <f t="shared" si="11"/>
        <v>11</v>
      </c>
    </row>
    <row r="85" spans="1:13" x14ac:dyDescent="0.2">
      <c r="A85" s="33"/>
      <c r="B85" s="34" t="s">
        <v>76</v>
      </c>
      <c r="C85" s="35">
        <f>VLOOKUP(B85,[3]SponsoredResearch!$B$7:$Q$81,16,FALSE)</f>
        <v>178901</v>
      </c>
      <c r="D85" s="36">
        <f t="shared" si="6"/>
        <v>10.9933</v>
      </c>
      <c r="E85" s="37">
        <f>((22400)+((1500)/3.5))+(670+((50)/3.5))</f>
        <v>23512.857142857141</v>
      </c>
      <c r="F85" s="38">
        <f t="shared" si="7"/>
        <v>2.6715330694533669E-2</v>
      </c>
      <c r="G85" s="39">
        <f>((3700)+((1100)/3.5))+(10/3.5)</f>
        <v>4017.1428571428569</v>
      </c>
      <c r="H85" s="38">
        <f t="shared" si="8"/>
        <v>2.5576447838872012E-2</v>
      </c>
      <c r="I85" s="39">
        <f>SUMIF('[3]AUCC fall enrolment data'!$A$3:$A$90,B85,'[3]AUCC fall enrolment data'!$AS$3:$AS$90)</f>
        <v>37300.000000000007</v>
      </c>
      <c r="J85" s="36">
        <f t="shared" si="9"/>
        <v>11.029400000000001</v>
      </c>
      <c r="K85" s="39">
        <f>VLOOKUP(B85,[3]Faculty!$B$7:$O$81,14,FALSE)</f>
        <v>1154</v>
      </c>
      <c r="L85" s="40">
        <f t="shared" si="10"/>
        <v>10.5261</v>
      </c>
      <c r="M85" s="42">
        <f t="shared" si="11"/>
        <v>11</v>
      </c>
    </row>
    <row r="86" spans="1:13" x14ac:dyDescent="0.2">
      <c r="A86" s="33"/>
      <c r="B86" s="34" t="s">
        <v>77</v>
      </c>
      <c r="C86" s="35">
        <f>VLOOKUP(B86,[3]SponsoredResearch!$B$7:$Q$81,16,FALSE)</f>
        <v>77651</v>
      </c>
      <c r="D86" s="36">
        <f t="shared" ref="D86:D96" si="12">ROUND(IF(0.5+LOG(C86/C$101,C$103)&lt;1,1,0.5+LOG(C86/C$101,C$103)),4)</f>
        <v>9.8153000000000006</v>
      </c>
      <c r="E86" s="37">
        <f>(42000)+((7100)/3.5)</f>
        <v>44028.571428571428</v>
      </c>
      <c r="F86" s="38">
        <f t="shared" ref="F86:F96" si="13">E86/E$98</f>
        <v>5.0025304818368539E-2</v>
      </c>
      <c r="G86" s="39">
        <f>(3950)+((2000)/3.5)</f>
        <v>4521.4285714285716</v>
      </c>
      <c r="H86" s="38">
        <f t="shared" ref="H86:H96" si="14">G86/G$98</f>
        <v>2.8787147016369107E-2</v>
      </c>
      <c r="I86" s="39">
        <f>SUMIF('[3]AUCC fall enrolment data'!$A$3:$A$90,B86,'[3]AUCC fall enrolment data'!$AS$3:$AS$90)</f>
        <v>48478.571428571428</v>
      </c>
      <c r="J86" s="36">
        <f t="shared" ref="J86:J96" si="15">ROUND(IF(0.5+LOG(I86/I$101,I$103)&lt;1,1,0.5+LOG(I86/I$101,I$103)),4)</f>
        <v>11.646599999999999</v>
      </c>
      <c r="K86" s="39">
        <f>VLOOKUP(B86,[3]Faculty!$B$7:$O$81,14,FALSE)</f>
        <v>1392.3333333333333</v>
      </c>
      <c r="L86" s="40">
        <f t="shared" ref="L86:L96" si="16">ROUND(IF(0.5+LOG(K86/K$101,K$103)&lt;1,1,0.5+LOG(K86/K$101,K$103)),4)</f>
        <v>11.0914</v>
      </c>
      <c r="M86" s="42">
        <f t="shared" ref="M86:M96" si="17">ROUND((D86+J86+L86)/3,0)</f>
        <v>11</v>
      </c>
    </row>
    <row r="87" spans="1:13" x14ac:dyDescent="0.2">
      <c r="A87" s="33"/>
      <c r="B87" s="34" t="s">
        <v>78</v>
      </c>
      <c r="C87" s="35">
        <f>VLOOKUP(B87,[3]SponsoredResearch!$B$7:$Q$81,16,FALSE)</f>
        <v>353067</v>
      </c>
      <c r="D87" s="36">
        <f t="shared" si="12"/>
        <v>11.9529</v>
      </c>
      <c r="E87" s="37">
        <f>(21900)+((3200)/3.5)</f>
        <v>22814.285714285714</v>
      </c>
      <c r="F87" s="38">
        <f t="shared" si="13"/>
        <v>2.5921613171620558E-2</v>
      </c>
      <c r="G87" s="39">
        <f>(3300)+((630)/3.5)</f>
        <v>3480</v>
      </c>
      <c r="H87" s="38">
        <f t="shared" si="14"/>
        <v>2.2156552964257548E-2</v>
      </c>
      <c r="I87" s="39">
        <f>SUMIF('[3]AUCC fall enrolment data'!$A$3:$A$90,B87,'[3]AUCC fall enrolment data'!$AS$3:$AS$90)</f>
        <v>31351.428571428569</v>
      </c>
      <c r="J87" s="36">
        <f t="shared" si="15"/>
        <v>10.6204</v>
      </c>
      <c r="K87" s="39">
        <f>VLOOKUP(B87,[3]Faculty!$B$7:$O$81,14,FALSE)</f>
        <v>1044</v>
      </c>
      <c r="L87" s="40">
        <f t="shared" si="16"/>
        <v>10.224500000000001</v>
      </c>
      <c r="M87" s="42">
        <f t="shared" si="17"/>
        <v>11</v>
      </c>
    </row>
    <row r="88" spans="1:13" x14ac:dyDescent="0.2">
      <c r="A88" s="33"/>
      <c r="B88" s="34" t="s">
        <v>79</v>
      </c>
      <c r="C88" s="35">
        <f>VLOOKUP(B88,[3]SponsoredResearch!$B$7:$Q$81,16,FALSE)</f>
        <v>238075</v>
      </c>
      <c r="D88" s="36">
        <f t="shared" si="12"/>
        <v>11.396699999999999</v>
      </c>
      <c r="E88" s="37">
        <f>((3350)+((530)/3.5))+((22800)+((2600)/3.5))+((1048)+(208/3.5))+((1270)+((160)/3.5))</f>
        <v>29467.428571428572</v>
      </c>
      <c r="F88" s="38">
        <f t="shared" si="13"/>
        <v>3.3480920426653196E-2</v>
      </c>
      <c r="G88" s="39">
        <f>((20)+((40)/3.5))+((4800)+((540)/3.5))+(29)+((10)+((10)/3.5))</f>
        <v>5027.5714285714294</v>
      </c>
      <c r="H88" s="38">
        <f t="shared" si="14"/>
        <v>3.2009670298485879E-2</v>
      </c>
      <c r="I88" s="39">
        <f>SUMIF('[3]AUCC fall enrolment data'!$A$3:$A$90,B88,'[3]AUCC fall enrolment data'!$AS$3:$AS$90)</f>
        <v>36663.904761904771</v>
      </c>
      <c r="J88" s="36">
        <f t="shared" si="15"/>
        <v>10.988899999999999</v>
      </c>
      <c r="K88" s="39">
        <f>VLOOKUP(B88,[3]Faculty!$B$7:$O$81,14,FALSE)</f>
        <v>1312.6666666666667</v>
      </c>
      <c r="L88" s="40">
        <f t="shared" si="16"/>
        <v>10.914</v>
      </c>
      <c r="M88" s="42">
        <f t="shared" si="17"/>
        <v>11</v>
      </c>
    </row>
    <row r="89" spans="1:13" x14ac:dyDescent="0.2">
      <c r="A89" s="33"/>
      <c r="B89" s="34" t="s">
        <v>80</v>
      </c>
      <c r="C89" s="35">
        <f>VLOOKUP(B89,[3]SponsoredResearch!$B$7:$Q$81,16,FALSE)</f>
        <v>314922</v>
      </c>
      <c r="D89" s="36">
        <f t="shared" si="12"/>
        <v>11.791499999999999</v>
      </c>
      <c r="E89" s="37">
        <f>(28700)+((6300)/3.5)</f>
        <v>30500</v>
      </c>
      <c r="F89" s="38">
        <f t="shared" si="13"/>
        <v>3.4654129067883462E-2</v>
      </c>
      <c r="G89" s="39">
        <f>(4900)+((1500)/3.5)</f>
        <v>5328.5714285714284</v>
      </c>
      <c r="H89" s="38">
        <f t="shared" si="14"/>
        <v>3.3926084793382862E-2</v>
      </c>
      <c r="I89" s="39">
        <f>SUMIF('[3]AUCC fall enrolment data'!$A$3:$A$90,B89,'[3]AUCC fall enrolment data'!$AS$3:$AS$90)</f>
        <v>38528.571428571428</v>
      </c>
      <c r="J89" s="36">
        <f t="shared" si="15"/>
        <v>11.105700000000001</v>
      </c>
      <c r="K89" s="39">
        <f>VLOOKUP(B89,[3]Faculty!$B$7:$O$81,14,FALSE)</f>
        <v>1263</v>
      </c>
      <c r="L89" s="40">
        <f t="shared" si="16"/>
        <v>10.7979</v>
      </c>
      <c r="M89" s="42">
        <f t="shared" si="17"/>
        <v>11</v>
      </c>
    </row>
    <row r="90" spans="1:13" x14ac:dyDescent="0.2">
      <c r="A90" s="33"/>
      <c r="B90" s="34" t="s">
        <v>81</v>
      </c>
      <c r="C90" s="35">
        <f>VLOOKUP(B90,[3]SponsoredResearch!$B$7:$Q$81,16,FALSE)</f>
        <v>355136</v>
      </c>
      <c r="D90" s="36">
        <f t="shared" si="12"/>
        <v>11.9611</v>
      </c>
      <c r="E90" s="37">
        <f>(22830)+((6870)/3.5)</f>
        <v>24792.857142857141</v>
      </c>
      <c r="F90" s="38">
        <f t="shared" si="13"/>
        <v>2.8169667914431731E-2</v>
      </c>
      <c r="G90" s="39">
        <f>(7670)+((4150)/3.5)</f>
        <v>8855.7142857142862</v>
      </c>
      <c r="H90" s="38">
        <f t="shared" si="14"/>
        <v>5.6382788105678386E-2</v>
      </c>
      <c r="I90" s="39">
        <f>SUMIF('[3]AUCC fall enrolment data'!$A$3:$A$90,B90,'[3]AUCC fall enrolment data'!$AS$3:$AS$90)</f>
        <v>35509.523809523809</v>
      </c>
      <c r="J90" s="36">
        <f t="shared" si="15"/>
        <v>10.913600000000001</v>
      </c>
      <c r="K90" s="39">
        <f>VLOOKUP(B90,[3]Faculty!$B$7:$O$81,14,FALSE)</f>
        <v>1381.3333333333333</v>
      </c>
      <c r="L90" s="40">
        <f t="shared" si="16"/>
        <v>11.067600000000001</v>
      </c>
      <c r="M90" s="42">
        <f t="shared" si="17"/>
        <v>11</v>
      </c>
    </row>
    <row r="91" spans="1:13" x14ac:dyDescent="0.2">
      <c r="A91" s="33"/>
      <c r="B91" s="34" t="s">
        <v>82</v>
      </c>
      <c r="C91" s="35">
        <f>VLOOKUP(B91,[3]SponsoredResearch!$B$7:$Q$81,16,FALSE)</f>
        <v>366389</v>
      </c>
      <c r="D91" s="36">
        <f t="shared" si="12"/>
        <v>12.0052</v>
      </c>
      <c r="E91" s="37">
        <f>(23040)+((1670)/3.5)</f>
        <v>23517.142857142859</v>
      </c>
      <c r="F91" s="38">
        <f t="shared" si="13"/>
        <v>2.6720200127189581E-2</v>
      </c>
      <c r="G91" s="39">
        <f>(6090)+((870)/3.5)</f>
        <v>6338.5714285714284</v>
      </c>
      <c r="H91" s="38">
        <f t="shared" si="14"/>
        <v>4.0356578613469106E-2</v>
      </c>
      <c r="I91" s="39">
        <f>SUMIF('[3]AUCC fall enrolment data'!$A$3:$A$90,B91,'[3]AUCC fall enrolment data'!$AS$3:$AS$90)</f>
        <v>31428.571428571431</v>
      </c>
      <c r="J91" s="36">
        <f t="shared" si="15"/>
        <v>10.626200000000001</v>
      </c>
      <c r="K91" s="39">
        <f>VLOOKUP(B91,[3]Faculty!$B$7:$O$81,14,FALSE)</f>
        <v>1767</v>
      </c>
      <c r="L91" s="40">
        <f t="shared" si="16"/>
        <v>11.808999999999999</v>
      </c>
      <c r="M91" s="42">
        <f t="shared" si="17"/>
        <v>11</v>
      </c>
    </row>
    <row r="92" spans="1:13" x14ac:dyDescent="0.2">
      <c r="A92" s="33"/>
      <c r="B92" s="34" t="s">
        <v>83</v>
      </c>
      <c r="C92" s="35">
        <f>VLOOKUP(B92,[3]SponsoredResearch!$B$7:$Q$81,16,FALSE)</f>
        <v>472555</v>
      </c>
      <c r="D92" s="36">
        <f t="shared" si="12"/>
        <v>12.3643</v>
      </c>
      <c r="E92" s="37">
        <f>(29140)+((870)/3.5)</f>
        <v>29388.571428571428</v>
      </c>
      <c r="F92" s="38">
        <f t="shared" si="13"/>
        <v>3.3391322865784473E-2</v>
      </c>
      <c r="G92" s="39">
        <f>(5930)+((1410)/3.5)</f>
        <v>6332.8571428571431</v>
      </c>
      <c r="H92" s="38">
        <f t="shared" si="14"/>
        <v>4.0320196753100869E-2</v>
      </c>
      <c r="I92" s="39">
        <f>SUMIF('[3]AUCC fall enrolment data'!$A$3:$A$90,B92,'[3]AUCC fall enrolment data'!$AS$3:$AS$90)</f>
        <v>34174.285714285717</v>
      </c>
      <c r="J92" s="36">
        <f t="shared" si="15"/>
        <v>10.823399999999999</v>
      </c>
      <c r="K92" s="39">
        <f>VLOOKUP(B92,[3]Faculty!$B$7:$O$81,14,FALSE)</f>
        <v>1617.3333333333333</v>
      </c>
      <c r="L92" s="40">
        <f t="shared" si="16"/>
        <v>11.5425</v>
      </c>
      <c r="M92" s="42">
        <f t="shared" si="17"/>
        <v>12</v>
      </c>
    </row>
    <row r="93" spans="1:13" x14ac:dyDescent="0.2">
      <c r="A93" s="33"/>
      <c r="B93" s="34" t="s">
        <v>84</v>
      </c>
      <c r="C93" s="35">
        <f>VLOOKUP(B93,[3]SponsoredResearch!$B$7:$Q$81,16,FALSE)</f>
        <v>511956</v>
      </c>
      <c r="D93" s="36">
        <f t="shared" si="12"/>
        <v>12.4773</v>
      </c>
      <c r="E93" s="37">
        <f>(22160)+((4790)/3.5)</f>
        <v>23528.571428571428</v>
      </c>
      <c r="F93" s="38">
        <f t="shared" si="13"/>
        <v>2.6733185280938671E-2</v>
      </c>
      <c r="G93" s="39">
        <f>(6630)+((2260)/3.5)</f>
        <v>7275.7142857142853</v>
      </c>
      <c r="H93" s="38">
        <f t="shared" si="14"/>
        <v>4.6323203713860298E-2</v>
      </c>
      <c r="I93" s="39">
        <f>SUMIF('[3]AUCC fall enrolment data'!$A$3:$A$90,B93,'[3]AUCC fall enrolment data'!$AS$3:$AS$90)</f>
        <v>33319.523809523809</v>
      </c>
      <c r="J93" s="36">
        <f t="shared" si="15"/>
        <v>10.7637</v>
      </c>
      <c r="K93" s="39">
        <f>VLOOKUP(B93,[3]Faculty!$B$7:$O$81,14,FALSE)</f>
        <v>1799</v>
      </c>
      <c r="L93" s="40">
        <f t="shared" si="16"/>
        <v>11.863</v>
      </c>
      <c r="M93" s="42">
        <f t="shared" si="17"/>
        <v>12</v>
      </c>
    </row>
    <row r="94" spans="1:13" x14ac:dyDescent="0.2">
      <c r="A94" s="33"/>
      <c r="B94" s="34" t="s">
        <v>85</v>
      </c>
      <c r="C94" s="35">
        <f>VLOOKUP(B94,[3]SponsoredResearch!$B$7:$Q$81,16,FALSE)</f>
        <v>441418</v>
      </c>
      <c r="D94" s="36">
        <f t="shared" si="12"/>
        <v>12.2681</v>
      </c>
      <c r="E94" s="37">
        <f>(24500)+((9040)/3.5)</f>
        <v>27082.857142857141</v>
      </c>
      <c r="F94" s="38">
        <f t="shared" si="13"/>
        <v>3.0771568096905604E-2</v>
      </c>
      <c r="G94" s="39">
        <f>(9110)+((2250)/3.5)</f>
        <v>9752.8571428571431</v>
      </c>
      <c r="H94" s="38">
        <f t="shared" si="14"/>
        <v>6.2094740183491912E-2</v>
      </c>
      <c r="I94" s="39">
        <f>SUMIF('[3]AUCC fall enrolment data'!$A$3:$A$90,B94,'[3]AUCC fall enrolment data'!$AS$3:$AS$90)</f>
        <v>39781.904761904763</v>
      </c>
      <c r="J94" s="36">
        <f t="shared" si="15"/>
        <v>11.181100000000001</v>
      </c>
      <c r="K94" s="39">
        <f>VLOOKUP(B94,[3]Faculty!$B$7:$O$81,14,FALSE)</f>
        <v>1440</v>
      </c>
      <c r="L94" s="40">
        <f t="shared" si="16"/>
        <v>11.1928</v>
      </c>
      <c r="M94" s="42">
        <f t="shared" si="17"/>
        <v>12</v>
      </c>
    </row>
    <row r="95" spans="1:13" x14ac:dyDescent="0.2">
      <c r="A95" s="33"/>
      <c r="B95" s="34" t="s">
        <v>86</v>
      </c>
      <c r="C95" s="35">
        <f>VLOOKUP(B95,[3]SponsoredResearch!$B$7:$Q$81,16,FALSE)</f>
        <v>550295</v>
      </c>
      <c r="D95" s="36">
        <f t="shared" si="12"/>
        <v>12.5793</v>
      </c>
      <c r="E95" s="37">
        <f>(33280)+((12090)/3.5)</f>
        <v>36734.285714285717</v>
      </c>
      <c r="F95" s="38">
        <f t="shared" si="13"/>
        <v>4.1737530438011962E-2</v>
      </c>
      <c r="G95" s="39">
        <f>(8750)+((1780)/3.5)</f>
        <v>9258.5714285714294</v>
      </c>
      <c r="H95" s="38">
        <f t="shared" si="14"/>
        <v>5.8947709261639239E-2</v>
      </c>
      <c r="I95" s="39">
        <f>SUMIF('[3]AUCC fall enrolment data'!$A$3:$A$90,B95,'[3]AUCC fall enrolment data'!$AS$3:$AS$90)</f>
        <v>49381.428571428572</v>
      </c>
      <c r="J95" s="36">
        <f t="shared" si="15"/>
        <v>11.69</v>
      </c>
      <c r="K95" s="39">
        <f>VLOOKUP(B95,[3]Faculty!$B$7:$O$81,14,FALSE)</f>
        <v>2729.6666666666665</v>
      </c>
      <c r="L95" s="40">
        <f t="shared" si="16"/>
        <v>13.118499999999999</v>
      </c>
      <c r="M95" s="42">
        <f t="shared" si="17"/>
        <v>12</v>
      </c>
    </row>
    <row r="96" spans="1:13" ht="13.5" thickBot="1" x14ac:dyDescent="0.25">
      <c r="A96" s="33"/>
      <c r="B96" s="54" t="s">
        <v>87</v>
      </c>
      <c r="C96" s="55">
        <f>VLOOKUP(B96,[3]SponsoredResearch!$B$7:$Q$81,16,FALSE)</f>
        <v>1051453</v>
      </c>
      <c r="D96" s="56">
        <f t="shared" si="12"/>
        <v>13.4932</v>
      </c>
      <c r="E96" s="57">
        <f>((4290)+((430)/3.5))+((57400)+((7200)/3.5))+((1710)+((120)/3.5))+(3180+(390/3.5))</f>
        <v>68905.714285714275</v>
      </c>
      <c r="F96" s="58">
        <f t="shared" si="13"/>
        <v>7.8290738241699798E-2</v>
      </c>
      <c r="G96" s="59">
        <f>((110)+((110)/3.5))+((13600)+((1800)/3.5))+((60)+((90)/3.5))</f>
        <v>14341.428571428571</v>
      </c>
      <c r="H96" s="58">
        <f t="shared" si="14"/>
        <v>9.130937405918782E-2</v>
      </c>
      <c r="I96" s="59">
        <f>SUMIF('[3]AUCC fall enrolment data'!$A$3:$A$90,B96,'[3]AUCC fall enrolment data'!$AS$3:$AS$90)</f>
        <v>84541.904761904749</v>
      </c>
      <c r="J96" s="56">
        <f t="shared" si="15"/>
        <v>12.956</v>
      </c>
      <c r="K96" s="60">
        <f>VLOOKUP(B96,[3]Faculty!$B$7:$O$81,14,FALSE)</f>
        <v>2684.3333333333335</v>
      </c>
      <c r="L96" s="61">
        <f t="shared" si="16"/>
        <v>13.068</v>
      </c>
      <c r="M96" s="62">
        <f t="shared" si="17"/>
        <v>13</v>
      </c>
    </row>
    <row r="97" spans="1:14" ht="13.5" thickBot="1" x14ac:dyDescent="0.25">
      <c r="A97" s="33"/>
      <c r="B97" s="33"/>
      <c r="C97" s="37"/>
      <c r="D97" s="40"/>
      <c r="E97" s="37"/>
      <c r="F97" s="38"/>
      <c r="G97" s="39"/>
      <c r="H97" s="38"/>
      <c r="I97" s="39"/>
      <c r="J97" s="40"/>
      <c r="K97" s="39"/>
      <c r="L97" s="40"/>
      <c r="M97" s="63"/>
    </row>
    <row r="98" spans="1:14" ht="13.5" thickBot="1" x14ac:dyDescent="0.25">
      <c r="A98" s="64" t="s">
        <v>88</v>
      </c>
      <c r="B98" s="65"/>
      <c r="C98" s="66">
        <f>SUM(C22:C96)</f>
        <v>7019796</v>
      </c>
      <c r="D98" s="67"/>
      <c r="E98" s="68">
        <f>SUM(E22:E96)</f>
        <v>880126</v>
      </c>
      <c r="F98" s="67">
        <f>SUM(F22:F96)</f>
        <v>1</v>
      </c>
      <c r="G98" s="69">
        <f>SUM(G22:G96)</f>
        <v>157064.14285714287</v>
      </c>
      <c r="H98" s="67">
        <f>SUM(H22:H96)</f>
        <v>1</v>
      </c>
      <c r="I98" s="68">
        <f>SUM(I22:I96)</f>
        <v>1113729.4761904762</v>
      </c>
      <c r="J98" s="67"/>
      <c r="K98" s="70">
        <f>SUM(K22:K96)</f>
        <v>43828.333333333336</v>
      </c>
      <c r="L98" s="47"/>
      <c r="M98" s="3"/>
    </row>
    <row r="99" spans="1:14" ht="13.5" thickBot="1" x14ac:dyDescent="0.25">
      <c r="C99" s="72"/>
      <c r="D99" s="47"/>
      <c r="F99" s="47"/>
      <c r="G99" s="74"/>
      <c r="H99" s="47"/>
      <c r="I99" s="73"/>
      <c r="J99" s="47"/>
      <c r="K99" s="72"/>
      <c r="L99" s="47"/>
      <c r="M99" s="3"/>
    </row>
    <row r="100" spans="1:14" ht="13.5" thickBot="1" x14ac:dyDescent="0.25">
      <c r="B100" s="75" t="s">
        <v>89</v>
      </c>
      <c r="C100" s="76">
        <v>13</v>
      </c>
      <c r="D100" s="76"/>
      <c r="E100" s="76"/>
      <c r="F100" s="76"/>
      <c r="G100" s="76"/>
      <c r="H100" s="76"/>
      <c r="I100" s="76"/>
      <c r="J100" s="76"/>
      <c r="K100" s="77"/>
      <c r="M100" s="78"/>
    </row>
    <row r="101" spans="1:14" x14ac:dyDescent="0.2">
      <c r="B101" s="9" t="s">
        <v>90</v>
      </c>
      <c r="C101" s="79">
        <f>100*C98/6643985</f>
        <v>105.656409519287</v>
      </c>
      <c r="E101" s="2"/>
      <c r="I101" s="79">
        <f>400*I98/1045575</f>
        <v>426.07349111846639</v>
      </c>
      <c r="K101" s="80">
        <f>40*K$98/42436</f>
        <v>41.312407704150566</v>
      </c>
    </row>
    <row r="102" spans="1:14" x14ac:dyDescent="0.2">
      <c r="B102" s="9" t="s">
        <v>91</v>
      </c>
      <c r="C102" s="79">
        <f>1000000*C98/6644054</f>
        <v>1056553.1225363309</v>
      </c>
      <c r="E102" s="2"/>
      <c r="I102" s="79">
        <f>100000*I98/1045575</f>
        <v>106518.37277961659</v>
      </c>
      <c r="K102" s="80">
        <f>3000*K$98/42436</f>
        <v>3098.4305778112921</v>
      </c>
    </row>
    <row r="103" spans="1:14" ht="13.5" thickBot="1" x14ac:dyDescent="0.25">
      <c r="B103" s="81" t="s">
        <v>92</v>
      </c>
      <c r="C103" s="82">
        <v>2.0309176209047357</v>
      </c>
      <c r="D103" s="82"/>
      <c r="E103" s="82"/>
      <c r="F103" s="82"/>
      <c r="G103" s="82"/>
      <c r="H103" s="82"/>
      <c r="I103" s="82">
        <v>1.5291740650985803</v>
      </c>
      <c r="J103" s="82"/>
      <c r="K103" s="83">
        <v>1.3939124009120489</v>
      </c>
    </row>
    <row r="104" spans="1:14" x14ac:dyDescent="0.2">
      <c r="E104" s="2"/>
      <c r="M104" s="5"/>
    </row>
    <row r="105" spans="1:14" x14ac:dyDescent="0.2">
      <c r="B105" s="84" t="s">
        <v>93</v>
      </c>
      <c r="C105" s="85">
        <v>6768180</v>
      </c>
      <c r="D105" s="85"/>
      <c r="E105" s="85">
        <v>880126.00000000012</v>
      </c>
      <c r="F105" s="85">
        <v>0.99999999999999989</v>
      </c>
      <c r="G105" s="85">
        <v>157064.14285714287</v>
      </c>
      <c r="H105" s="85">
        <v>1</v>
      </c>
      <c r="I105" s="85">
        <v>1073175</v>
      </c>
      <c r="M105" s="71"/>
    </row>
    <row r="106" spans="1:14" x14ac:dyDescent="0.2">
      <c r="C106" s="85"/>
      <c r="D106" s="85"/>
      <c r="E106" s="85"/>
      <c r="F106" s="85"/>
      <c r="G106" s="85"/>
      <c r="H106" s="85"/>
      <c r="I106" s="85"/>
      <c r="M106" s="5"/>
    </row>
    <row r="107" spans="1:14" x14ac:dyDescent="0.2">
      <c r="C107" s="85">
        <f>(C98-C105)/C105</f>
        <v>3.7176316232724306E-2</v>
      </c>
      <c r="D107" s="85"/>
      <c r="E107" s="85"/>
      <c r="F107" s="85"/>
      <c r="G107" s="85"/>
      <c r="H107" s="85"/>
      <c r="I107" s="85">
        <f>(I98-I105)/I105</f>
        <v>3.7789247970252952E-2</v>
      </c>
      <c r="M107" s="5"/>
    </row>
    <row r="108" spans="1:14" x14ac:dyDescent="0.2">
      <c r="B108" s="112"/>
      <c r="C108" s="113"/>
      <c r="D108" s="114"/>
      <c r="E108" s="113"/>
      <c r="F108" s="115"/>
      <c r="G108" s="116"/>
      <c r="H108" s="115"/>
      <c r="I108" s="116"/>
      <c r="J108" s="114"/>
      <c r="K108" s="116"/>
      <c r="L108" s="114"/>
      <c r="M108" s="117"/>
      <c r="N108" s="112"/>
    </row>
    <row r="109" spans="1:14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8"/>
      <c r="N109" s="112"/>
    </row>
    <row r="110" spans="1:14" x14ac:dyDescent="0.2">
      <c r="E110" s="2"/>
      <c r="M110" s="5"/>
    </row>
    <row r="111" spans="1:14" x14ac:dyDescent="0.2">
      <c r="E111" s="2"/>
      <c r="M111" s="5"/>
    </row>
    <row r="112" spans="1:14" x14ac:dyDescent="0.2">
      <c r="E112" s="2"/>
      <c r="M112" s="5"/>
    </row>
    <row r="113" spans="5:13" x14ac:dyDescent="0.2">
      <c r="E113" s="2"/>
      <c r="M113" s="5"/>
    </row>
    <row r="114" spans="5:13" x14ac:dyDescent="0.2">
      <c r="E114" s="2"/>
      <c r="M114" s="5"/>
    </row>
    <row r="115" spans="5:13" x14ac:dyDescent="0.2">
      <c r="E115" s="2"/>
      <c r="M115" s="5"/>
    </row>
    <row r="116" spans="5:13" x14ac:dyDescent="0.2">
      <c r="E116" s="2"/>
      <c r="M116" s="5"/>
    </row>
    <row r="117" spans="5:13" x14ac:dyDescent="0.2">
      <c r="E117" s="2"/>
      <c r="M117" s="5"/>
    </row>
    <row r="118" spans="5:13" x14ac:dyDescent="0.2">
      <c r="E118" s="2"/>
      <c r="M118" s="5"/>
    </row>
    <row r="119" spans="5:13" x14ac:dyDescent="0.2">
      <c r="E119" s="2"/>
      <c r="M119" s="5"/>
    </row>
    <row r="120" spans="5:13" x14ac:dyDescent="0.2">
      <c r="E120" s="2"/>
      <c r="M120" s="5"/>
    </row>
    <row r="121" spans="5:13" x14ac:dyDescent="0.2">
      <c r="E121" s="2"/>
      <c r="M121" s="5"/>
    </row>
    <row r="122" spans="5:13" x14ac:dyDescent="0.2">
      <c r="E122" s="2"/>
      <c r="M122" s="5"/>
    </row>
    <row r="123" spans="5:13" x14ac:dyDescent="0.2">
      <c r="E123" s="2"/>
      <c r="M123" s="5"/>
    </row>
    <row r="124" spans="5:13" x14ac:dyDescent="0.2">
      <c r="E124" s="2"/>
      <c r="M124" s="5"/>
    </row>
    <row r="125" spans="5:13" x14ac:dyDescent="0.2">
      <c r="E125" s="2"/>
      <c r="M125" s="5"/>
    </row>
    <row r="126" spans="5:13" x14ac:dyDescent="0.2">
      <c r="E126" s="2"/>
      <c r="M126" s="5"/>
    </row>
    <row r="127" spans="5:13" x14ac:dyDescent="0.2">
      <c r="E127" s="2"/>
      <c r="M127" s="5"/>
    </row>
    <row r="128" spans="5:13" x14ac:dyDescent="0.2">
      <c r="E128" s="2"/>
      <c r="M128" s="5"/>
    </row>
    <row r="129" spans="5:13" x14ac:dyDescent="0.2">
      <c r="E129" s="2"/>
      <c r="M129" s="5"/>
    </row>
    <row r="130" spans="5:13" x14ac:dyDescent="0.2">
      <c r="E130" s="2"/>
      <c r="M130" s="5"/>
    </row>
    <row r="131" spans="5:13" x14ac:dyDescent="0.2">
      <c r="E131" s="2"/>
      <c r="M131" s="5"/>
    </row>
    <row r="132" spans="5:13" x14ac:dyDescent="0.2">
      <c r="E132" s="2"/>
      <c r="M132" s="5"/>
    </row>
    <row r="133" spans="5:13" x14ac:dyDescent="0.2">
      <c r="E133" s="2"/>
      <c r="M133" s="5"/>
    </row>
    <row r="134" spans="5:13" x14ac:dyDescent="0.2">
      <c r="E134" s="2"/>
      <c r="M134" s="5"/>
    </row>
    <row r="135" spans="5:13" x14ac:dyDescent="0.2">
      <c r="E135" s="2"/>
      <c r="M135" s="5"/>
    </row>
    <row r="136" spans="5:13" x14ac:dyDescent="0.2">
      <c r="E136" s="2"/>
      <c r="M136" s="5"/>
    </row>
    <row r="137" spans="5:13" x14ac:dyDescent="0.2">
      <c r="E137" s="2"/>
      <c r="M137" s="5"/>
    </row>
    <row r="138" spans="5:13" x14ac:dyDescent="0.2">
      <c r="E138" s="2"/>
      <c r="M138" s="5"/>
    </row>
    <row r="139" spans="5:13" x14ac:dyDescent="0.2">
      <c r="E139" s="2"/>
      <c r="M139" s="5"/>
    </row>
    <row r="140" spans="5:13" x14ac:dyDescent="0.2">
      <c r="E140" s="2"/>
      <c r="M140" s="5"/>
    </row>
    <row r="141" spans="5:13" x14ac:dyDescent="0.2">
      <c r="E141" s="2"/>
      <c r="M141" s="5"/>
    </row>
    <row r="142" spans="5:13" x14ac:dyDescent="0.2">
      <c r="E142" s="2"/>
      <c r="M142" s="5"/>
    </row>
    <row r="143" spans="5:13" x14ac:dyDescent="0.2">
      <c r="E143" s="2"/>
      <c r="M143" s="5"/>
    </row>
    <row r="144" spans="5:13" x14ac:dyDescent="0.2">
      <c r="E144" s="2"/>
      <c r="M144" s="5"/>
    </row>
    <row r="145" spans="5:13" x14ac:dyDescent="0.2">
      <c r="E145" s="2"/>
      <c r="M145" s="5"/>
    </row>
    <row r="146" spans="5:13" x14ac:dyDescent="0.2">
      <c r="E146" s="2"/>
      <c r="M146" s="5"/>
    </row>
    <row r="147" spans="5:13" x14ac:dyDescent="0.2">
      <c r="E147" s="2"/>
      <c r="M147" s="5"/>
    </row>
    <row r="148" spans="5:13" x14ac:dyDescent="0.2">
      <c r="E148" s="2"/>
      <c r="M148" s="5"/>
    </row>
    <row r="149" spans="5:13" x14ac:dyDescent="0.2">
      <c r="E149" s="2"/>
      <c r="M149" s="5"/>
    </row>
    <row r="150" spans="5:13" x14ac:dyDescent="0.2">
      <c r="E150" s="2"/>
      <c r="M150" s="5"/>
    </row>
    <row r="151" spans="5:13" x14ac:dyDescent="0.2">
      <c r="E151" s="2"/>
      <c r="M151" s="5"/>
    </row>
    <row r="152" spans="5:13" x14ac:dyDescent="0.2">
      <c r="E152" s="2"/>
      <c r="M152" s="5"/>
    </row>
    <row r="153" spans="5:13" x14ac:dyDescent="0.2">
      <c r="E153" s="2"/>
      <c r="M153" s="5"/>
    </row>
    <row r="154" spans="5:13" x14ac:dyDescent="0.2">
      <c r="E154" s="2"/>
      <c r="M154" s="5"/>
    </row>
    <row r="155" spans="5:13" x14ac:dyDescent="0.2">
      <c r="E155" s="2"/>
      <c r="M155" s="5"/>
    </row>
    <row r="156" spans="5:13" x14ac:dyDescent="0.2">
      <c r="E156" s="2"/>
      <c r="M156" s="5"/>
    </row>
    <row r="157" spans="5:13" x14ac:dyDescent="0.2">
      <c r="E157" s="2"/>
      <c r="M157" s="5"/>
    </row>
    <row r="158" spans="5:13" x14ac:dyDescent="0.2">
      <c r="E158" s="2"/>
      <c r="M158" s="5"/>
    </row>
    <row r="159" spans="5:13" x14ac:dyDescent="0.2">
      <c r="E159" s="2"/>
      <c r="M159" s="5"/>
    </row>
    <row r="160" spans="5:13" x14ac:dyDescent="0.2">
      <c r="E160" s="2"/>
      <c r="M160" s="5"/>
    </row>
    <row r="161" spans="5:13" x14ac:dyDescent="0.2">
      <c r="E161" s="2"/>
      <c r="M161" s="5"/>
    </row>
    <row r="162" spans="5:13" x14ac:dyDescent="0.2">
      <c r="E162" s="2"/>
      <c r="M162" s="5"/>
    </row>
    <row r="163" spans="5:13" x14ac:dyDescent="0.2">
      <c r="E163" s="2"/>
    </row>
    <row r="164" spans="5:13" x14ac:dyDescent="0.2">
      <c r="E164" s="2"/>
    </row>
    <row r="165" spans="5:13" x14ac:dyDescent="0.2">
      <c r="E165" s="2"/>
    </row>
    <row r="166" spans="5:13" x14ac:dyDescent="0.2">
      <c r="E166" s="2"/>
    </row>
    <row r="167" spans="5:13" x14ac:dyDescent="0.2">
      <c r="E167" s="2"/>
    </row>
    <row r="168" spans="5:13" x14ac:dyDescent="0.2">
      <c r="E168" s="2"/>
    </row>
    <row r="169" spans="5:13" x14ac:dyDescent="0.2">
      <c r="E169" s="2"/>
    </row>
    <row r="170" spans="5:13" x14ac:dyDescent="0.2">
      <c r="E170" s="2"/>
    </row>
    <row r="171" spans="5:13" x14ac:dyDescent="0.2">
      <c r="E171" s="2"/>
    </row>
  </sheetData>
  <autoFilter ref="I21:K98" xr:uid="{00000000-0009-0000-0000-000000000000}"/>
  <mergeCells count="8">
    <mergeCell ref="B18:B21"/>
    <mergeCell ref="M4:M21"/>
    <mergeCell ref="E1:I1"/>
    <mergeCell ref="C4:D6"/>
    <mergeCell ref="E4:F6"/>
    <mergeCell ref="G4:H6"/>
    <mergeCell ref="I4:J6"/>
    <mergeCell ref="K4:L6"/>
  </mergeCells>
  <conditionalFormatting sqref="M22:M97">
    <cfRule type="expression" dxfId="1" priority="2">
      <formula>"if($M22&lt;&gt;$P22)"</formula>
    </cfRule>
  </conditionalFormatting>
  <conditionalFormatting sqref="M108">
    <cfRule type="expression" dxfId="0" priority="1">
      <formula>"if($M22&lt;&gt;$P22)"</formula>
    </cfRule>
  </conditionalFormatting>
  <printOptions horizontalCentered="1" verticalCentered="1"/>
  <pageMargins left="3.937007874015748E-2" right="3.937007874015748E-2" top="0.15748031496062992" bottom="0.15748031496062992" header="0.31496062992125984" footer="0.31496062992125984"/>
  <pageSetup scale="4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Banding System</vt:lpstr>
      <vt:lpstr>CRKN_Members</vt:lpstr>
      <vt:lpstr>'Banding System'!Print_Area</vt:lpstr>
      <vt:lpstr>'Banding System'!Print_Titles</vt:lpstr>
      <vt:lpstr>TIERS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Holmes</dc:creator>
  <cp:lastModifiedBy>Amanda Holmes</cp:lastModifiedBy>
  <dcterms:created xsi:type="dcterms:W3CDTF">2019-04-25T14:18:09Z</dcterms:created>
  <dcterms:modified xsi:type="dcterms:W3CDTF">2019-04-25T14:33:54Z</dcterms:modified>
</cp:coreProperties>
</file>