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Licenses\Banding\2020\"/>
    </mc:Choice>
  </mc:AlternateContent>
  <xr:revisionPtr revIDLastSave="0" documentId="8_{90E9471C-69A3-4C8B-A520-3CF522C83CB6}" xr6:coauthVersionLast="45" xr6:coauthVersionMax="45" xr10:uidLastSave="{00000000-0000-0000-0000-000000000000}"/>
  <bookViews>
    <workbookView xWindow="-120" yWindow="-120" windowWidth="29040" windowHeight="15840" xr2:uid="{F8637531-707C-43E0-80D7-91DF8462715C}"/>
  </bookViews>
  <sheets>
    <sheet name="Banding System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'Banding System'!$I$21:$K$98</definedName>
    <definedName name="CRKN_Members">'Banding System'!$B$22:$B$96</definedName>
    <definedName name="ELSSCI">[2]elssci2014CRKNMemberMatch!$A$3:$C$74</definedName>
    <definedName name="NUDGE" localSheetId="0">'Banding System'!#REF!</definedName>
    <definedName name="NUDGE">#REF!</definedName>
    <definedName name="Price_List_Data">[3]Data!$A$4:$L$111</definedName>
    <definedName name="_xlnm.Print_Area" localSheetId="0">'Banding System'!$B$1:$S$103</definedName>
    <definedName name="_xlnm.Print_Titles" localSheetId="0">'Banding System'!$B:$B</definedName>
    <definedName name="TIERS">'Banding System'!$C$100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6" i="1" l="1"/>
  <c r="I96" i="1"/>
  <c r="G96" i="1"/>
  <c r="E96" i="1"/>
  <c r="C96" i="1"/>
  <c r="K95" i="1"/>
  <c r="I95" i="1"/>
  <c r="G95" i="1"/>
  <c r="E95" i="1"/>
  <c r="C95" i="1"/>
  <c r="K94" i="1"/>
  <c r="I94" i="1"/>
  <c r="G94" i="1"/>
  <c r="E94" i="1"/>
  <c r="C94" i="1"/>
  <c r="K93" i="1"/>
  <c r="I93" i="1"/>
  <c r="G93" i="1"/>
  <c r="E93" i="1"/>
  <c r="C93" i="1"/>
  <c r="K92" i="1"/>
  <c r="I92" i="1"/>
  <c r="G92" i="1"/>
  <c r="E92" i="1"/>
  <c r="C92" i="1"/>
  <c r="K91" i="1"/>
  <c r="I91" i="1"/>
  <c r="G91" i="1"/>
  <c r="E91" i="1"/>
  <c r="C91" i="1"/>
  <c r="K90" i="1"/>
  <c r="I90" i="1"/>
  <c r="G90" i="1"/>
  <c r="E90" i="1"/>
  <c r="C90" i="1"/>
  <c r="K89" i="1"/>
  <c r="I89" i="1"/>
  <c r="G89" i="1"/>
  <c r="E89" i="1"/>
  <c r="C89" i="1"/>
  <c r="K88" i="1"/>
  <c r="I88" i="1"/>
  <c r="G88" i="1"/>
  <c r="E88" i="1"/>
  <c r="C88" i="1"/>
  <c r="K87" i="1"/>
  <c r="I87" i="1"/>
  <c r="G87" i="1"/>
  <c r="E87" i="1"/>
  <c r="C87" i="1"/>
  <c r="K86" i="1"/>
  <c r="I86" i="1"/>
  <c r="G86" i="1"/>
  <c r="E86" i="1"/>
  <c r="C86" i="1"/>
  <c r="K85" i="1"/>
  <c r="I85" i="1"/>
  <c r="G85" i="1"/>
  <c r="E85" i="1"/>
  <c r="C85" i="1"/>
  <c r="K84" i="1"/>
  <c r="I84" i="1"/>
  <c r="G84" i="1"/>
  <c r="E84" i="1"/>
  <c r="C84" i="1"/>
  <c r="K83" i="1"/>
  <c r="I83" i="1"/>
  <c r="G83" i="1"/>
  <c r="E83" i="1"/>
  <c r="C83" i="1"/>
  <c r="K82" i="1"/>
  <c r="I82" i="1"/>
  <c r="G82" i="1"/>
  <c r="E82" i="1"/>
  <c r="C82" i="1"/>
  <c r="K81" i="1"/>
  <c r="I81" i="1"/>
  <c r="G81" i="1"/>
  <c r="E81" i="1"/>
  <c r="C81" i="1"/>
  <c r="K80" i="1"/>
  <c r="I80" i="1"/>
  <c r="G80" i="1"/>
  <c r="E80" i="1"/>
  <c r="C80" i="1"/>
  <c r="K79" i="1"/>
  <c r="I79" i="1"/>
  <c r="G79" i="1"/>
  <c r="E79" i="1"/>
  <c r="C79" i="1"/>
  <c r="K78" i="1"/>
  <c r="I78" i="1"/>
  <c r="G78" i="1"/>
  <c r="E78" i="1"/>
  <c r="C78" i="1"/>
  <c r="K77" i="1"/>
  <c r="I77" i="1"/>
  <c r="G77" i="1"/>
  <c r="E77" i="1"/>
  <c r="C77" i="1"/>
  <c r="K76" i="1"/>
  <c r="I76" i="1"/>
  <c r="G76" i="1"/>
  <c r="E76" i="1"/>
  <c r="C76" i="1"/>
  <c r="K75" i="1"/>
  <c r="I75" i="1"/>
  <c r="G75" i="1"/>
  <c r="E75" i="1"/>
  <c r="C75" i="1"/>
  <c r="K74" i="1"/>
  <c r="I74" i="1"/>
  <c r="G74" i="1"/>
  <c r="E74" i="1"/>
  <c r="C74" i="1"/>
  <c r="K73" i="1"/>
  <c r="I73" i="1"/>
  <c r="G73" i="1"/>
  <c r="E73" i="1"/>
  <c r="C73" i="1"/>
  <c r="K72" i="1"/>
  <c r="I72" i="1"/>
  <c r="G72" i="1"/>
  <c r="E72" i="1"/>
  <c r="C72" i="1"/>
  <c r="K71" i="1"/>
  <c r="I71" i="1"/>
  <c r="G71" i="1"/>
  <c r="E71" i="1"/>
  <c r="C71" i="1"/>
  <c r="K70" i="1"/>
  <c r="I70" i="1"/>
  <c r="G70" i="1"/>
  <c r="E70" i="1"/>
  <c r="C70" i="1"/>
  <c r="K69" i="1"/>
  <c r="I69" i="1"/>
  <c r="G69" i="1"/>
  <c r="E69" i="1"/>
  <c r="C69" i="1"/>
  <c r="K68" i="1"/>
  <c r="I68" i="1"/>
  <c r="G68" i="1"/>
  <c r="E68" i="1"/>
  <c r="C68" i="1"/>
  <c r="K67" i="1"/>
  <c r="I67" i="1"/>
  <c r="G67" i="1"/>
  <c r="E67" i="1"/>
  <c r="C67" i="1"/>
  <c r="K66" i="1"/>
  <c r="I66" i="1"/>
  <c r="G66" i="1"/>
  <c r="E66" i="1"/>
  <c r="C66" i="1"/>
  <c r="K65" i="1"/>
  <c r="I65" i="1"/>
  <c r="G65" i="1"/>
  <c r="E65" i="1"/>
  <c r="C65" i="1"/>
  <c r="K64" i="1"/>
  <c r="I64" i="1"/>
  <c r="G64" i="1"/>
  <c r="E64" i="1"/>
  <c r="C64" i="1"/>
  <c r="K63" i="1"/>
  <c r="I63" i="1"/>
  <c r="G63" i="1"/>
  <c r="E63" i="1"/>
  <c r="C63" i="1"/>
  <c r="K62" i="1"/>
  <c r="I62" i="1"/>
  <c r="G62" i="1"/>
  <c r="E62" i="1"/>
  <c r="C62" i="1"/>
  <c r="K61" i="1"/>
  <c r="I61" i="1"/>
  <c r="G61" i="1"/>
  <c r="E61" i="1"/>
  <c r="C61" i="1"/>
  <c r="K60" i="1"/>
  <c r="I60" i="1"/>
  <c r="G60" i="1"/>
  <c r="E60" i="1"/>
  <c r="C60" i="1"/>
  <c r="K59" i="1"/>
  <c r="I59" i="1"/>
  <c r="G59" i="1"/>
  <c r="E59" i="1"/>
  <c r="C59" i="1"/>
  <c r="K58" i="1"/>
  <c r="I58" i="1"/>
  <c r="G58" i="1"/>
  <c r="E58" i="1"/>
  <c r="C58" i="1"/>
  <c r="K57" i="1"/>
  <c r="I57" i="1"/>
  <c r="G57" i="1"/>
  <c r="E57" i="1"/>
  <c r="C57" i="1"/>
  <c r="K56" i="1"/>
  <c r="I56" i="1"/>
  <c r="E56" i="1"/>
  <c r="C56" i="1"/>
  <c r="K55" i="1"/>
  <c r="I55" i="1"/>
  <c r="G55" i="1"/>
  <c r="E55" i="1"/>
  <c r="C55" i="1"/>
  <c r="K54" i="1"/>
  <c r="I54" i="1"/>
  <c r="G54" i="1"/>
  <c r="E54" i="1"/>
  <c r="C54" i="1"/>
  <c r="K53" i="1"/>
  <c r="I53" i="1"/>
  <c r="E53" i="1"/>
  <c r="C53" i="1"/>
  <c r="K52" i="1"/>
  <c r="I52" i="1"/>
  <c r="G52" i="1"/>
  <c r="E52" i="1"/>
  <c r="C52" i="1"/>
  <c r="K51" i="1"/>
  <c r="I51" i="1"/>
  <c r="G51" i="1"/>
  <c r="E51" i="1"/>
  <c r="C51" i="1"/>
  <c r="K50" i="1"/>
  <c r="I50" i="1"/>
  <c r="G50" i="1"/>
  <c r="E50" i="1"/>
  <c r="C50" i="1"/>
  <c r="K49" i="1"/>
  <c r="I49" i="1"/>
  <c r="G49" i="1"/>
  <c r="E49" i="1"/>
  <c r="C49" i="1"/>
  <c r="K48" i="1"/>
  <c r="I48" i="1"/>
  <c r="G48" i="1"/>
  <c r="E48" i="1"/>
  <c r="C48" i="1"/>
  <c r="K47" i="1"/>
  <c r="I47" i="1"/>
  <c r="E47" i="1"/>
  <c r="C47" i="1"/>
  <c r="K46" i="1"/>
  <c r="I46" i="1"/>
  <c r="G46" i="1"/>
  <c r="E46" i="1"/>
  <c r="C46" i="1"/>
  <c r="K45" i="1"/>
  <c r="I45" i="1"/>
  <c r="C45" i="1"/>
  <c r="K44" i="1"/>
  <c r="I44" i="1"/>
  <c r="G44" i="1"/>
  <c r="E44" i="1"/>
  <c r="C44" i="1"/>
  <c r="K43" i="1"/>
  <c r="I43" i="1"/>
  <c r="G43" i="1"/>
  <c r="E43" i="1"/>
  <c r="C43" i="1"/>
  <c r="K42" i="1"/>
  <c r="I42" i="1"/>
  <c r="E42" i="1"/>
  <c r="C42" i="1"/>
  <c r="K41" i="1"/>
  <c r="I41" i="1"/>
  <c r="G41" i="1"/>
  <c r="E41" i="1"/>
  <c r="C41" i="1"/>
  <c r="K40" i="1"/>
  <c r="I40" i="1"/>
  <c r="G40" i="1"/>
  <c r="E40" i="1"/>
  <c r="C40" i="1"/>
  <c r="K39" i="1"/>
  <c r="I39" i="1"/>
  <c r="G39" i="1"/>
  <c r="E39" i="1"/>
  <c r="C39" i="1"/>
  <c r="K38" i="1"/>
  <c r="I38" i="1"/>
  <c r="G38" i="1"/>
  <c r="E38" i="1"/>
  <c r="C38" i="1"/>
  <c r="K37" i="1"/>
  <c r="I37" i="1"/>
  <c r="G37" i="1"/>
  <c r="C37" i="1"/>
  <c r="K36" i="1"/>
  <c r="I36" i="1"/>
  <c r="E36" i="1"/>
  <c r="C36" i="1"/>
  <c r="K35" i="1"/>
  <c r="I35" i="1"/>
  <c r="G35" i="1"/>
  <c r="E35" i="1"/>
  <c r="C35" i="1"/>
  <c r="K34" i="1"/>
  <c r="I34" i="1"/>
  <c r="E34" i="1"/>
  <c r="C34" i="1"/>
  <c r="K33" i="1"/>
  <c r="I33" i="1"/>
  <c r="G33" i="1"/>
  <c r="E33" i="1"/>
  <c r="C33" i="1"/>
  <c r="K32" i="1"/>
  <c r="I32" i="1"/>
  <c r="G32" i="1"/>
  <c r="E32" i="1"/>
  <c r="C32" i="1"/>
  <c r="K31" i="1"/>
  <c r="I31" i="1"/>
  <c r="G31" i="1"/>
  <c r="E31" i="1"/>
  <c r="C31" i="1"/>
  <c r="K30" i="1"/>
  <c r="I30" i="1"/>
  <c r="E30" i="1"/>
  <c r="C30" i="1"/>
  <c r="K29" i="1"/>
  <c r="I29" i="1"/>
  <c r="E29" i="1"/>
  <c r="C29" i="1"/>
  <c r="K28" i="1"/>
  <c r="I28" i="1"/>
  <c r="E28" i="1"/>
  <c r="C28" i="1"/>
  <c r="K27" i="1"/>
  <c r="I27" i="1"/>
  <c r="G27" i="1"/>
  <c r="H27" i="1" s="1"/>
  <c r="C27" i="1"/>
  <c r="K26" i="1"/>
  <c r="I26" i="1"/>
  <c r="E26" i="1"/>
  <c r="C26" i="1"/>
  <c r="K25" i="1"/>
  <c r="I25" i="1"/>
  <c r="G25" i="1"/>
  <c r="G98" i="1" s="1"/>
  <c r="E25" i="1"/>
  <c r="C25" i="1"/>
  <c r="K24" i="1"/>
  <c r="I24" i="1"/>
  <c r="E24" i="1"/>
  <c r="C24" i="1"/>
  <c r="K23" i="1"/>
  <c r="I23" i="1"/>
  <c r="E23" i="1"/>
  <c r="C23" i="1"/>
  <c r="K22" i="1"/>
  <c r="I22" i="1"/>
  <c r="I98" i="1" s="1"/>
  <c r="E22" i="1"/>
  <c r="C22" i="1"/>
  <c r="J31" i="1" l="1"/>
  <c r="J24" i="1"/>
  <c r="J26" i="1"/>
  <c r="J29" i="1"/>
  <c r="I101" i="1"/>
  <c r="I102" i="1"/>
  <c r="H86" i="1"/>
  <c r="H82" i="1"/>
  <c r="H56" i="1"/>
  <c r="H95" i="1"/>
  <c r="H91" i="1"/>
  <c r="H55" i="1"/>
  <c r="H54" i="1"/>
  <c r="H53" i="1"/>
  <c r="H52" i="1"/>
  <c r="H51" i="1"/>
  <c r="H50" i="1"/>
  <c r="H49" i="1"/>
  <c r="H47" i="1"/>
  <c r="H41" i="1"/>
  <c r="H40" i="1"/>
  <c r="H39" i="1"/>
  <c r="H38" i="1"/>
  <c r="H37" i="1"/>
  <c r="H78" i="1"/>
  <c r="H74" i="1"/>
  <c r="H70" i="1"/>
  <c r="H42" i="1"/>
  <c r="H30" i="1"/>
  <c r="K98" i="1"/>
  <c r="J28" i="1"/>
  <c r="J36" i="1"/>
  <c r="J38" i="1"/>
  <c r="J40" i="1"/>
  <c r="H45" i="1"/>
  <c r="H46" i="1"/>
  <c r="H48" i="1"/>
  <c r="J53" i="1"/>
  <c r="J58" i="1"/>
  <c r="J22" i="1"/>
  <c r="H24" i="1"/>
  <c r="H28" i="1"/>
  <c r="H29" i="1"/>
  <c r="H23" i="1"/>
  <c r="C98" i="1"/>
  <c r="H22" i="1"/>
  <c r="J45" i="1"/>
  <c r="J46" i="1"/>
  <c r="J48" i="1"/>
  <c r="J50" i="1"/>
  <c r="J54" i="1"/>
  <c r="J59" i="1"/>
  <c r="J63" i="1"/>
  <c r="H31" i="1"/>
  <c r="H35" i="1"/>
  <c r="J37" i="1"/>
  <c r="J39" i="1"/>
  <c r="J41" i="1"/>
  <c r="H43" i="1"/>
  <c r="H44" i="1"/>
  <c r="J55" i="1"/>
  <c r="H26" i="1"/>
  <c r="E98" i="1"/>
  <c r="F25" i="1" s="1"/>
  <c r="H25" i="1"/>
  <c r="H32" i="1"/>
  <c r="H33" i="1"/>
  <c r="H34" i="1"/>
  <c r="H36" i="1"/>
  <c r="J47" i="1"/>
  <c r="J49" i="1"/>
  <c r="F50" i="1"/>
  <c r="J51" i="1"/>
  <c r="H57" i="1"/>
  <c r="H61" i="1"/>
  <c r="H65" i="1"/>
  <c r="H72" i="1"/>
  <c r="H76" i="1"/>
  <c r="H80" i="1"/>
  <c r="H83" i="1"/>
  <c r="H87" i="1"/>
  <c r="H58" i="1"/>
  <c r="H62" i="1"/>
  <c r="H66" i="1"/>
  <c r="H67" i="1"/>
  <c r="H68" i="1"/>
  <c r="H69" i="1"/>
  <c r="H84" i="1"/>
  <c r="H88" i="1"/>
  <c r="H92" i="1"/>
  <c r="H96" i="1"/>
  <c r="J52" i="1"/>
  <c r="H59" i="1"/>
  <c r="H63" i="1"/>
  <c r="H71" i="1"/>
  <c r="H73" i="1"/>
  <c r="H75" i="1"/>
  <c r="H77" i="1"/>
  <c r="H79" i="1"/>
  <c r="H81" i="1"/>
  <c r="H85" i="1"/>
  <c r="H89" i="1"/>
  <c r="H93" i="1"/>
  <c r="H60" i="1"/>
  <c r="H64" i="1"/>
  <c r="J73" i="1"/>
  <c r="F76" i="1"/>
  <c r="J77" i="1"/>
  <c r="J81" i="1"/>
  <c r="H90" i="1"/>
  <c r="H94" i="1"/>
  <c r="J70" i="1"/>
  <c r="F73" i="1"/>
  <c r="J74" i="1"/>
  <c r="F77" i="1"/>
  <c r="J78" i="1"/>
  <c r="F81" i="1"/>
  <c r="J82" i="1"/>
  <c r="F85" i="1"/>
  <c r="J86" i="1"/>
  <c r="F89" i="1"/>
  <c r="J90" i="1"/>
  <c r="F93" i="1"/>
  <c r="J94" i="1"/>
  <c r="F70" i="1"/>
  <c r="J71" i="1"/>
  <c r="F74" i="1"/>
  <c r="J75" i="1"/>
  <c r="F78" i="1"/>
  <c r="J79" i="1"/>
  <c r="F82" i="1"/>
  <c r="J83" i="1"/>
  <c r="F86" i="1"/>
  <c r="J87" i="1"/>
  <c r="F90" i="1"/>
  <c r="J91" i="1"/>
  <c r="F94" i="1"/>
  <c r="J95" i="1"/>
  <c r="F71" i="1"/>
  <c r="J72" i="1"/>
  <c r="F75" i="1"/>
  <c r="J76" i="1"/>
  <c r="F79" i="1"/>
  <c r="J80" i="1"/>
  <c r="F83" i="1"/>
  <c r="J84" i="1"/>
  <c r="F87" i="1"/>
  <c r="J88" i="1"/>
  <c r="F91" i="1"/>
  <c r="J92" i="1"/>
  <c r="F95" i="1"/>
  <c r="J96" i="1"/>
  <c r="F84" i="1"/>
  <c r="J85" i="1"/>
  <c r="F88" i="1"/>
  <c r="J89" i="1"/>
  <c r="F92" i="1"/>
  <c r="J93" i="1"/>
  <c r="F96" i="1"/>
  <c r="F80" i="1" l="1"/>
  <c r="F72" i="1"/>
  <c r="F54" i="1"/>
  <c r="F48" i="1"/>
  <c r="J69" i="1"/>
  <c r="J68" i="1"/>
  <c r="J67" i="1"/>
  <c r="J66" i="1"/>
  <c r="J62" i="1"/>
  <c r="J65" i="1"/>
  <c r="J61" i="1"/>
  <c r="J57" i="1"/>
  <c r="J64" i="1"/>
  <c r="J60" i="1"/>
  <c r="J56" i="1"/>
  <c r="J35" i="1"/>
  <c r="J34" i="1"/>
  <c r="I13" i="1"/>
  <c r="J13" i="1" s="1"/>
  <c r="I11" i="1"/>
  <c r="J11" i="1" s="1"/>
  <c r="J33" i="1"/>
  <c r="J32" i="1"/>
  <c r="I20" i="1"/>
  <c r="J20" i="1" s="1"/>
  <c r="I18" i="1"/>
  <c r="J18" i="1" s="1"/>
  <c r="I16" i="1"/>
  <c r="J16" i="1" s="1"/>
  <c r="I14" i="1"/>
  <c r="J14" i="1" s="1"/>
  <c r="I12" i="1"/>
  <c r="J12" i="1" s="1"/>
  <c r="I10" i="1"/>
  <c r="J10" i="1" s="1"/>
  <c r="I8" i="1"/>
  <c r="J8" i="1" s="1"/>
  <c r="I19" i="1"/>
  <c r="J19" i="1" s="1"/>
  <c r="I17" i="1"/>
  <c r="J17" i="1" s="1"/>
  <c r="I15" i="1"/>
  <c r="J15" i="1" s="1"/>
  <c r="I9" i="1"/>
  <c r="J9" i="1" s="1"/>
  <c r="J23" i="1"/>
  <c r="J44" i="1"/>
  <c r="J43" i="1"/>
  <c r="J42" i="1"/>
  <c r="J27" i="1"/>
  <c r="J25" i="1"/>
  <c r="F26" i="1"/>
  <c r="F66" i="1"/>
  <c r="F47" i="1"/>
  <c r="F42" i="1"/>
  <c r="F38" i="1"/>
  <c r="F57" i="1"/>
  <c r="F51" i="1"/>
  <c r="H98" i="1"/>
  <c r="F55" i="1"/>
  <c r="F39" i="1"/>
  <c r="J30" i="1"/>
  <c r="F65" i="1"/>
  <c r="F61" i="1"/>
  <c r="F37" i="1"/>
  <c r="F64" i="1"/>
  <c r="F60" i="1"/>
  <c r="F63" i="1"/>
  <c r="F59" i="1"/>
  <c r="F45" i="1"/>
  <c r="F36" i="1"/>
  <c r="F35" i="1"/>
  <c r="F69" i="1"/>
  <c r="F68" i="1"/>
  <c r="F67" i="1"/>
  <c r="F28" i="1"/>
  <c r="F34" i="1"/>
  <c r="F33" i="1"/>
  <c r="F32" i="1"/>
  <c r="F44" i="1"/>
  <c r="F43" i="1"/>
  <c r="F24" i="1"/>
  <c r="F27" i="1"/>
  <c r="F62" i="1"/>
  <c r="F52" i="1"/>
  <c r="F46" i="1"/>
  <c r="F56" i="1"/>
  <c r="C101" i="1"/>
  <c r="C102" i="1"/>
  <c r="K102" i="1"/>
  <c r="K101" i="1"/>
  <c r="F23" i="1"/>
  <c r="F31" i="1"/>
  <c r="F53" i="1"/>
  <c r="F29" i="1"/>
  <c r="F58" i="1"/>
  <c r="F40" i="1"/>
  <c r="F49" i="1"/>
  <c r="F41" i="1"/>
  <c r="F30" i="1"/>
  <c r="F22" i="1"/>
  <c r="F98" i="1" l="1"/>
  <c r="L87" i="1"/>
  <c r="L83" i="1"/>
  <c r="L96" i="1"/>
  <c r="L92" i="1"/>
  <c r="L79" i="1"/>
  <c r="L75" i="1"/>
  <c r="L71" i="1"/>
  <c r="L55" i="1"/>
  <c r="L54" i="1"/>
  <c r="L53" i="1"/>
  <c r="L51" i="1"/>
  <c r="L50" i="1"/>
  <c r="L49" i="1"/>
  <c r="L41" i="1"/>
  <c r="L40" i="1"/>
  <c r="L39" i="1"/>
  <c r="L38" i="1"/>
  <c r="L37" i="1"/>
  <c r="L46" i="1"/>
  <c r="L45" i="1"/>
  <c r="K14" i="1"/>
  <c r="L14" i="1" s="1"/>
  <c r="K8" i="1"/>
  <c r="L8" i="1" s="1"/>
  <c r="L36" i="1"/>
  <c r="L34" i="1"/>
  <c r="K19" i="1"/>
  <c r="L19" i="1" s="1"/>
  <c r="K17" i="1"/>
  <c r="L17" i="1" s="1"/>
  <c r="K15" i="1"/>
  <c r="L15" i="1" s="1"/>
  <c r="K13" i="1"/>
  <c r="L13" i="1" s="1"/>
  <c r="K11" i="1"/>
  <c r="L11" i="1" s="1"/>
  <c r="K9" i="1"/>
  <c r="L9" i="1" s="1"/>
  <c r="L29" i="1"/>
  <c r="K20" i="1"/>
  <c r="L20" i="1" s="1"/>
  <c r="K18" i="1"/>
  <c r="L18" i="1" s="1"/>
  <c r="K16" i="1"/>
  <c r="L16" i="1" s="1"/>
  <c r="K12" i="1"/>
  <c r="L12" i="1" s="1"/>
  <c r="K10" i="1"/>
  <c r="L10" i="1" s="1"/>
  <c r="L28" i="1"/>
  <c r="L26" i="1"/>
  <c r="L31" i="1"/>
  <c r="L44" i="1"/>
  <c r="L48" i="1"/>
  <c r="L66" i="1"/>
  <c r="L81" i="1"/>
  <c r="L89" i="1"/>
  <c r="L63" i="1"/>
  <c r="L56" i="1"/>
  <c r="L91" i="1"/>
  <c r="L57" i="1"/>
  <c r="L88" i="1"/>
  <c r="L23" i="1"/>
  <c r="L62" i="1"/>
  <c r="L67" i="1"/>
  <c r="L77" i="1"/>
  <c r="L59" i="1"/>
  <c r="L86" i="1"/>
  <c r="L94" i="1"/>
  <c r="L72" i="1"/>
  <c r="L76" i="1"/>
  <c r="L80" i="1"/>
  <c r="L27" i="1"/>
  <c r="L24" i="1"/>
  <c r="L42" i="1"/>
  <c r="L32" i="1"/>
  <c r="L58" i="1"/>
  <c r="L68" i="1"/>
  <c r="L73" i="1"/>
  <c r="L85" i="1"/>
  <c r="L93" i="1"/>
  <c r="L82" i="1"/>
  <c r="L64" i="1"/>
  <c r="L65" i="1"/>
  <c r="L84" i="1"/>
  <c r="L25" i="1"/>
  <c r="L30" i="1"/>
  <c r="L35" i="1"/>
  <c r="L47" i="1"/>
  <c r="L22" i="1"/>
  <c r="L43" i="1"/>
  <c r="L52" i="1"/>
  <c r="L33" i="1"/>
  <c r="L69" i="1"/>
  <c r="L90" i="1"/>
  <c r="L60" i="1"/>
  <c r="L70" i="1"/>
  <c r="L74" i="1"/>
  <c r="L78" i="1"/>
  <c r="L95" i="1"/>
  <c r="L61" i="1"/>
  <c r="D89" i="1"/>
  <c r="D85" i="1"/>
  <c r="D80" i="1"/>
  <c r="D76" i="1"/>
  <c r="D72" i="1"/>
  <c r="D94" i="1"/>
  <c r="D90" i="1"/>
  <c r="D56" i="1"/>
  <c r="D55" i="1"/>
  <c r="D54" i="1"/>
  <c r="D52" i="1"/>
  <c r="D51" i="1"/>
  <c r="D50" i="1"/>
  <c r="D49" i="1"/>
  <c r="D42" i="1"/>
  <c r="D41" i="1"/>
  <c r="D40" i="1"/>
  <c r="D39" i="1"/>
  <c r="D38" i="1"/>
  <c r="D81" i="1"/>
  <c r="D77" i="1"/>
  <c r="D73" i="1"/>
  <c r="C18" i="1"/>
  <c r="D18" i="1" s="1"/>
  <c r="C16" i="1"/>
  <c r="D16" i="1" s="1"/>
  <c r="C10" i="1"/>
  <c r="D10" i="1" s="1"/>
  <c r="D27" i="1"/>
  <c r="D47" i="1"/>
  <c r="D46" i="1"/>
  <c r="C19" i="1"/>
  <c r="D19" i="1" s="1"/>
  <c r="C17" i="1"/>
  <c r="D17" i="1" s="1"/>
  <c r="C15" i="1"/>
  <c r="D15" i="1" s="1"/>
  <c r="C13" i="1"/>
  <c r="D13" i="1" s="1"/>
  <c r="C11" i="1"/>
  <c r="D11" i="1" s="1"/>
  <c r="C9" i="1"/>
  <c r="D9" i="1" s="1"/>
  <c r="D30" i="1"/>
  <c r="C20" i="1"/>
  <c r="D20" i="1" s="1"/>
  <c r="C14" i="1"/>
  <c r="D14" i="1" s="1"/>
  <c r="C12" i="1"/>
  <c r="D12" i="1" s="1"/>
  <c r="C8" i="1"/>
  <c r="D8" i="1" s="1"/>
  <c r="D22" i="1"/>
  <c r="D37" i="1"/>
  <c r="D23" i="1"/>
  <c r="D31" i="1"/>
  <c r="D32" i="1"/>
  <c r="D44" i="1"/>
  <c r="D71" i="1"/>
  <c r="D78" i="1"/>
  <c r="D86" i="1"/>
  <c r="D62" i="1"/>
  <c r="D67" i="1"/>
  <c r="D63" i="1"/>
  <c r="D96" i="1"/>
  <c r="D25" i="1"/>
  <c r="D26" i="1"/>
  <c r="D33" i="1"/>
  <c r="D36" i="1"/>
  <c r="D45" i="1"/>
  <c r="D93" i="1"/>
  <c r="D65" i="1"/>
  <c r="D82" i="1"/>
  <c r="D58" i="1"/>
  <c r="D68" i="1"/>
  <c r="D87" i="1"/>
  <c r="D59" i="1"/>
  <c r="D84" i="1"/>
  <c r="D29" i="1"/>
  <c r="D24" i="1"/>
  <c r="D34" i="1"/>
  <c r="D53" i="1"/>
  <c r="D64" i="1"/>
  <c r="D79" i="1"/>
  <c r="D61" i="1"/>
  <c r="D70" i="1"/>
  <c r="D69" i="1"/>
  <c r="D95" i="1"/>
  <c r="D92" i="1"/>
  <c r="D35" i="1"/>
  <c r="D28" i="1"/>
  <c r="D48" i="1"/>
  <c r="D43" i="1"/>
  <c r="D60" i="1"/>
  <c r="D75" i="1"/>
  <c r="D57" i="1"/>
  <c r="D74" i="1"/>
  <c r="D66" i="1"/>
  <c r="D83" i="1"/>
  <c r="D91" i="1"/>
  <c r="D88" i="1"/>
  <c r="N70" i="1" l="1"/>
  <c r="M70" i="1"/>
  <c r="M45" i="1"/>
  <c r="N45" i="1"/>
  <c r="N37" i="1"/>
  <c r="M37" i="1"/>
  <c r="N74" i="1"/>
  <c r="M74" i="1"/>
  <c r="N61" i="1"/>
  <c r="M61" i="1"/>
  <c r="N82" i="1"/>
  <c r="M82" i="1"/>
  <c r="N86" i="1"/>
  <c r="M86" i="1"/>
  <c r="N22" i="1"/>
  <c r="M22" i="1"/>
  <c r="N41" i="1"/>
  <c r="M41" i="1"/>
  <c r="N91" i="1"/>
  <c r="M91" i="1"/>
  <c r="N57" i="1"/>
  <c r="M57" i="1"/>
  <c r="N48" i="1"/>
  <c r="M48" i="1"/>
  <c r="N95" i="1"/>
  <c r="M95" i="1"/>
  <c r="N79" i="1"/>
  <c r="M79" i="1"/>
  <c r="N24" i="1"/>
  <c r="M24" i="1"/>
  <c r="N87" i="1"/>
  <c r="M87" i="1"/>
  <c r="N65" i="1"/>
  <c r="M65" i="1"/>
  <c r="M33" i="1"/>
  <c r="N33" i="1"/>
  <c r="N63" i="1"/>
  <c r="M63" i="1"/>
  <c r="N78" i="1"/>
  <c r="M78" i="1"/>
  <c r="N31" i="1"/>
  <c r="M31" i="1"/>
  <c r="N30" i="1"/>
  <c r="M30" i="1"/>
  <c r="N47" i="1"/>
  <c r="M47" i="1"/>
  <c r="N38" i="1"/>
  <c r="M38" i="1"/>
  <c r="M42" i="1"/>
  <c r="N42" i="1"/>
  <c r="N52" i="1"/>
  <c r="M52" i="1"/>
  <c r="N90" i="1"/>
  <c r="M90" i="1"/>
  <c r="N80" i="1"/>
  <c r="M80" i="1"/>
  <c r="N35" i="1"/>
  <c r="M35" i="1"/>
  <c r="N58" i="1"/>
  <c r="M58" i="1"/>
  <c r="M44" i="1"/>
  <c r="N44" i="1"/>
  <c r="N88" i="1"/>
  <c r="M88" i="1"/>
  <c r="N92" i="1"/>
  <c r="M92" i="1"/>
  <c r="N59" i="1"/>
  <c r="M59" i="1"/>
  <c r="N96" i="1"/>
  <c r="M96" i="1"/>
  <c r="M46" i="1"/>
  <c r="N46" i="1"/>
  <c r="N83" i="1"/>
  <c r="M83" i="1"/>
  <c r="N75" i="1"/>
  <c r="M75" i="1"/>
  <c r="N28" i="1"/>
  <c r="M28" i="1"/>
  <c r="N69" i="1"/>
  <c r="M69" i="1"/>
  <c r="M64" i="1"/>
  <c r="N64" i="1"/>
  <c r="N29" i="1"/>
  <c r="M29" i="1"/>
  <c r="M68" i="1"/>
  <c r="N68" i="1"/>
  <c r="N93" i="1"/>
  <c r="M93" i="1"/>
  <c r="N26" i="1"/>
  <c r="M26" i="1"/>
  <c r="M67" i="1"/>
  <c r="N67" i="1"/>
  <c r="N71" i="1"/>
  <c r="M71" i="1"/>
  <c r="M23" i="1"/>
  <c r="N23" i="1"/>
  <c r="M27" i="1"/>
  <c r="N27" i="1"/>
  <c r="N73" i="1"/>
  <c r="M73" i="1"/>
  <c r="N39" i="1"/>
  <c r="M39" i="1"/>
  <c r="N49" i="1"/>
  <c r="M49" i="1"/>
  <c r="N54" i="1"/>
  <c r="M54" i="1"/>
  <c r="N94" i="1"/>
  <c r="M94" i="1"/>
  <c r="N85" i="1"/>
  <c r="M85" i="1"/>
  <c r="M60" i="1"/>
  <c r="N60" i="1"/>
  <c r="N84" i="1"/>
  <c r="M84" i="1"/>
  <c r="N62" i="1"/>
  <c r="M62" i="1"/>
  <c r="N77" i="1"/>
  <c r="M77" i="1"/>
  <c r="N40" i="1"/>
  <c r="M40" i="1"/>
  <c r="N50" i="1"/>
  <c r="M50" i="1"/>
  <c r="N55" i="1"/>
  <c r="M55" i="1"/>
  <c r="N72" i="1"/>
  <c r="M72" i="1"/>
  <c r="N89" i="1"/>
  <c r="M89" i="1"/>
  <c r="M66" i="1"/>
  <c r="N66" i="1"/>
  <c r="N53" i="1"/>
  <c r="M53" i="1"/>
  <c r="N25" i="1"/>
  <c r="M25" i="1"/>
  <c r="M43" i="1"/>
  <c r="N43" i="1"/>
  <c r="N34" i="1"/>
  <c r="M34" i="1"/>
  <c r="M36" i="1"/>
  <c r="N36" i="1"/>
  <c r="M32" i="1"/>
  <c r="N32" i="1"/>
  <c r="N81" i="1"/>
  <c r="M81" i="1"/>
  <c r="N51" i="1"/>
  <c r="M51" i="1"/>
  <c r="M56" i="1"/>
  <c r="N56" i="1"/>
  <c r="N76" i="1"/>
  <c r="M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4" authorId="0" shapeId="0" xr:uid="{DB40604B-6C5A-4076-8F67-1B4A9AB93606}">
      <text>
        <r>
          <rPr>
            <sz val="8"/>
            <color indexed="81"/>
            <rFont val="Tahoma"/>
            <family val="2"/>
          </rPr>
          <t xml:space="preserve">From CAUBO report 2011-2012, 2012-2013 and 2013-2014 Report 3.1 </t>
        </r>
      </text>
    </comment>
    <comment ref="E4" authorId="0" shapeId="0" xr:uid="{6089B2A6-BE64-4FC2-922C-407223027E43}">
      <text>
        <r>
          <rPr>
            <b/>
            <sz val="8"/>
            <color indexed="81"/>
            <rFont val="Tahoma"/>
            <family val="2"/>
          </rPr>
          <t xml:space="preserve">From AUCC 2011 preliminary fulltime and part-time enrolment </t>
        </r>
      </text>
    </comment>
    <comment ref="G4" authorId="0" shapeId="0" xr:uid="{555A78C7-C627-4438-A4A7-9FE74D5E0CC8}">
      <text>
        <r>
          <rPr>
            <b/>
            <sz val="8"/>
            <color indexed="81"/>
            <rFont val="Tahoma"/>
            <family val="2"/>
          </rPr>
          <t xml:space="preserve">From AUCC 2011 preliminary fulltime and part-time enrolment </t>
        </r>
      </text>
    </comment>
    <comment ref="I4" authorId="0" shapeId="0" xr:uid="{F916241F-A437-4A5B-9375-A08ED305DE9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Universities Canada (formerly AUCC) data. Average of three years where available.</t>
        </r>
      </text>
    </comment>
    <comment ref="K4" authorId="0" shapeId="0" xr:uid="{64166A89-3581-4E7B-B1EF-4493C80DE554}">
      <text>
        <r>
          <rPr>
            <sz val="8"/>
            <color indexed="81"/>
            <rFont val="Tahoma"/>
            <family val="2"/>
          </rPr>
          <t xml:space="preserve">From Salaries and salary scales of Full-time teaching staff at Canadian Universities 2010/2011, Statistics Canada </t>
        </r>
      </text>
    </comment>
  </commentList>
</comments>
</file>

<file path=xl/sharedStrings.xml><?xml version="1.0" encoding="utf-8"?>
<sst xmlns="http://schemas.openxmlformats.org/spreadsheetml/2006/main" count="108" uniqueCount="100">
  <si>
    <t>CRKN / RCDR Bands</t>
  </si>
  <si>
    <r>
      <t xml:space="preserve">2020 Data
</t>
    </r>
    <r>
      <rPr>
        <i/>
        <sz val="12"/>
        <rFont val="Arial"/>
        <family val="2"/>
      </rPr>
      <t>Updated February 2020</t>
    </r>
  </si>
  <si>
    <t>CRKN Member Institutions (75)</t>
  </si>
  <si>
    <t>Sponsored Research  (all sources), 
2015-16 - 2017/18</t>
  </si>
  <si>
    <t>Undergraduate Student FTE 
2011</t>
  </si>
  <si>
    <t>Graduate Student FTE 
2011</t>
  </si>
  <si>
    <t>Student FTE (combined)
2017-2019</t>
  </si>
  <si>
    <t xml:space="preserve"> Faculty  (All Ranks) 
2017-2019</t>
  </si>
  <si>
    <t>2020
BAND</t>
  </si>
  <si>
    <t>Unrounded Score</t>
  </si>
  <si>
    <t>2019 BAND</t>
  </si>
  <si>
    <t>2018 Band</t>
  </si>
  <si>
    <t>2017 Band</t>
  </si>
  <si>
    <t>2016 Band</t>
  </si>
  <si>
    <t>2015 Band</t>
  </si>
  <si>
    <t>RAW</t>
  </si>
  <si>
    <t>Points</t>
  </si>
  <si>
    <t>$000</t>
  </si>
  <si>
    <t>%</t>
  </si>
  <si>
    <t>Université Sainte-Anne</t>
  </si>
  <si>
    <t>The King's University</t>
  </si>
  <si>
    <t>NSCAD University</t>
  </si>
  <si>
    <t>Concordia University of Edmonton</t>
  </si>
  <si>
    <t>Algoma University</t>
  </si>
  <si>
    <t>École nationale d'administration publique</t>
  </si>
  <si>
    <t>Royal Roads University</t>
  </si>
  <si>
    <t>Télé-université du Québec</t>
  </si>
  <si>
    <t>Trinity Western University</t>
  </si>
  <si>
    <t>Bishop's University</t>
  </si>
  <si>
    <t>Mount Saint Vincent University</t>
  </si>
  <si>
    <t>OCAD University</t>
  </si>
  <si>
    <t>Mount Allison University</t>
  </si>
  <si>
    <t>Brandon University</t>
  </si>
  <si>
    <t>Cape Breton University</t>
  </si>
  <si>
    <t>Institut national de la recherche scientifique</t>
  </si>
  <si>
    <t>Université du Québec en Abitibi-Témiscamingue</t>
  </si>
  <si>
    <t>Nipissing University</t>
  </si>
  <si>
    <t>Royal Military College of Canada</t>
  </si>
  <si>
    <t>University of Northern British Columbia</t>
  </si>
  <si>
    <t>University of the Fraser Valley</t>
  </si>
  <si>
    <t>Acadia University</t>
  </si>
  <si>
    <t>Vancouver Island University</t>
  </si>
  <si>
    <t>MacEwan University</t>
  </si>
  <si>
    <t>Université du Québec en Outaouais</t>
  </si>
  <si>
    <t>Thompson Rivers University</t>
  </si>
  <si>
    <t>St. Francis Xavier University</t>
  </si>
  <si>
    <t>Athabasca University</t>
  </si>
  <si>
    <t>University of Prince Edward Island</t>
  </si>
  <si>
    <t>Université du Québec à Rimouski</t>
  </si>
  <si>
    <t>Saint Mary's University</t>
  </si>
  <si>
    <t>Kwantlen Polytechnic University</t>
  </si>
  <si>
    <t>Université de Moncton</t>
  </si>
  <si>
    <t>University of Ontario Institute of Technology</t>
  </si>
  <si>
    <t>Mount Royal University</t>
  </si>
  <si>
    <t>École de technologie supérieure</t>
  </si>
  <si>
    <t>Université du Québec à Chicoutimi</t>
  </si>
  <si>
    <t>University of Winnipeg</t>
  </si>
  <si>
    <t>Trent University</t>
  </si>
  <si>
    <t>HEC Montréal</t>
  </si>
  <si>
    <t>Lakehead University</t>
  </si>
  <si>
    <t>Laurentian University</t>
  </si>
  <si>
    <t>École Polytechnique de Montréal</t>
  </si>
  <si>
    <t>University of Lethbridge</t>
  </si>
  <si>
    <t>Université du Québec à Trois-Rivières</t>
  </si>
  <si>
    <t>University of Regina</t>
  </si>
  <si>
    <t>Wilfrid Laurier University</t>
  </si>
  <si>
    <t>Brock University</t>
  </si>
  <si>
    <t>University of Windsor</t>
  </si>
  <si>
    <t>University of New Brunswick</t>
  </si>
  <si>
    <t>University of Victoria</t>
  </si>
  <si>
    <t>Carleton University</t>
  </si>
  <si>
    <t>Ryerson University</t>
  </si>
  <si>
    <t>Memorial University of Newfoundland</t>
  </si>
  <si>
    <t>Concordia University</t>
  </si>
  <si>
    <t>Simon Fraser University</t>
  </si>
  <si>
    <t>Université de Sherbrooke</t>
  </si>
  <si>
    <t>Dalhousie University</t>
  </si>
  <si>
    <t>Université du Québec à Montréal</t>
  </si>
  <si>
    <t>University of Guelph</t>
  </si>
  <si>
    <t>Queen's University</t>
  </si>
  <si>
    <t>University of Saskatchewan</t>
  </si>
  <si>
    <t>University of Manitoba</t>
  </si>
  <si>
    <t>University of Waterloo</t>
  </si>
  <si>
    <t>York University</t>
  </si>
  <si>
    <t>McMaster University</t>
  </si>
  <si>
    <t>Western University</t>
  </si>
  <si>
    <t>University of Ottawa</t>
  </si>
  <si>
    <t>Université Laval</t>
  </si>
  <si>
    <t>Université de Montréal</t>
  </si>
  <si>
    <t>University of Calgary</t>
  </si>
  <si>
    <t>University of Alberta</t>
  </si>
  <si>
    <t>McGill University</t>
  </si>
  <si>
    <t>University of British Columbia</t>
  </si>
  <si>
    <t>University of Toronto</t>
  </si>
  <si>
    <t>TOTAL</t>
  </si>
  <si>
    <t>Number of Bands</t>
  </si>
  <si>
    <t>Minimum</t>
  </si>
  <si>
    <t>Maximum</t>
  </si>
  <si>
    <t>Factor</t>
  </si>
  <si>
    <t>Institutions changing bands in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</si>
</sst>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;[Red]\-&quot;$&quot;#,##0"/>
    <numFmt numFmtId="41" formatCode="_-* #,##0_-;\-* #,##0_-;_-* &quot;-&quot;_-;_-@_-"/>
    <numFmt numFmtId="43" formatCode="_-* #,##0.00_-;\-* #,##0.00_-;_-* &quot;-&quot;??_-;_-@_-"/>
    <numFmt numFmtId="164" formatCode="_-* #,##0.000_-;\-* #,##0.000_-;_-* &quot;-&quot;??_-;_-@_-"/>
    <numFmt numFmtId="165" formatCode="_-* #,##0.0000_-;\-* #,##0.0000_-;_-* &quot;-&quot;??_-;_-@_-"/>
    <numFmt numFmtId="166" formatCode="_-* #,##0_-;\-* #,##0_-;_-* &quot;-&quot;??_-;_-@_-"/>
    <numFmt numFmtId="167" formatCode="#,##0_ ;\-#,##0\ "/>
    <numFmt numFmtId="168" formatCode="0.000000000"/>
    <numFmt numFmtId="169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56">
    <xf numFmtId="0" fontId="0" fillId="0" borderId="0" xfId="0"/>
    <xf numFmtId="0" fontId="3" fillId="0" borderId="1" xfId="0" applyFont="1" applyBorder="1"/>
    <xf numFmtId="0" fontId="4" fillId="0" borderId="0" xfId="3"/>
    <xf numFmtId="0" fontId="4" fillId="0" borderId="0" xfId="3" applyAlignment="1">
      <alignment horizontal="center"/>
    </xf>
    <xf numFmtId="0" fontId="4" fillId="0" borderId="0" xfId="3" applyAlignment="1">
      <alignment horizontal="center"/>
    </xf>
    <xf numFmtId="0" fontId="4" fillId="2" borderId="0" xfId="3" applyFill="1" applyAlignment="1">
      <alignment horizontal="center" vertical="center"/>
    </xf>
    <xf numFmtId="164" fontId="4" fillId="2" borderId="0" xfId="1" applyNumberFormat="1" applyFont="1" applyFill="1" applyAlignment="1">
      <alignment horizontal="center"/>
    </xf>
    <xf numFmtId="0" fontId="3" fillId="0" borderId="2" xfId="0" applyFont="1" applyBorder="1"/>
    <xf numFmtId="17" fontId="5" fillId="2" borderId="2" xfId="0" quotePrefix="1" applyNumberFormat="1" applyFont="1" applyFill="1" applyBorder="1" applyAlignment="1">
      <alignment wrapText="1"/>
    </xf>
    <xf numFmtId="0" fontId="7" fillId="0" borderId="3" xfId="3" applyFont="1" applyBorder="1" applyAlignment="1">
      <alignment horizontal="center" vertical="center"/>
    </xf>
    <xf numFmtId="0" fontId="7" fillId="3" borderId="4" xfId="3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49" fontId="7" fillId="0" borderId="6" xfId="3" applyNumberFormat="1" applyFont="1" applyBorder="1" applyAlignment="1">
      <alignment horizontal="center" vertical="center" wrapText="1"/>
    </xf>
    <xf numFmtId="49" fontId="7" fillId="0" borderId="7" xfId="3" applyNumberFormat="1" applyFont="1" applyBorder="1" applyAlignment="1">
      <alignment horizontal="center" vertical="center" wrapText="1"/>
    </xf>
    <xf numFmtId="49" fontId="7" fillId="0" borderId="8" xfId="3" applyNumberFormat="1" applyFont="1" applyBorder="1" applyAlignment="1">
      <alignment horizontal="center" vertical="center" wrapText="1"/>
    </xf>
    <xf numFmtId="49" fontId="7" fillId="3" borderId="4" xfId="3" applyNumberFormat="1" applyFont="1" applyFill="1" applyBorder="1" applyAlignment="1">
      <alignment horizontal="center" vertical="center" wrapText="1"/>
    </xf>
    <xf numFmtId="49" fontId="7" fillId="3" borderId="5" xfId="3" applyNumberFormat="1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4" borderId="9" xfId="3" applyFont="1" applyFill="1" applyBorder="1" applyAlignment="1">
      <alignment horizontal="center" vertical="center" wrapText="1"/>
    </xf>
    <xf numFmtId="0" fontId="7" fillId="5" borderId="10" xfId="3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 wrapText="1"/>
    </xf>
    <xf numFmtId="0" fontId="7" fillId="3" borderId="12" xfId="3" applyFont="1" applyFill="1" applyBorder="1" applyAlignment="1">
      <alignment horizontal="center" vertical="center" wrapText="1"/>
    </xf>
    <xf numFmtId="49" fontId="7" fillId="0" borderId="0" xfId="3" applyNumberFormat="1" applyFont="1" applyAlignment="1">
      <alignment horizontal="center" vertical="center" wrapText="1"/>
    </xf>
    <xf numFmtId="49" fontId="7" fillId="0" borderId="13" xfId="3" applyNumberFormat="1" applyFont="1" applyBorder="1" applyAlignment="1">
      <alignment horizontal="center" vertical="center" wrapText="1"/>
    </xf>
    <xf numFmtId="49" fontId="7" fillId="0" borderId="14" xfId="3" applyNumberFormat="1" applyFont="1" applyBorder="1" applyAlignment="1">
      <alignment horizontal="center" vertical="center" wrapText="1"/>
    </xf>
    <xf numFmtId="49" fontId="7" fillId="3" borderId="2" xfId="3" applyNumberFormat="1" applyFont="1" applyFill="1" applyBorder="1" applyAlignment="1">
      <alignment horizontal="center" vertical="center" wrapText="1"/>
    </xf>
    <xf numFmtId="49" fontId="7" fillId="3" borderId="12" xfId="3" applyNumberFormat="1" applyFont="1" applyFill="1" applyBorder="1" applyAlignment="1">
      <alignment horizontal="center" vertical="center" wrapText="1"/>
    </xf>
    <xf numFmtId="0" fontId="7" fillId="3" borderId="0" xfId="3" applyFont="1" applyFill="1" applyAlignment="1">
      <alignment horizontal="center" vertical="center" wrapText="1"/>
    </xf>
    <xf numFmtId="0" fontId="7" fillId="4" borderId="15" xfId="3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0" borderId="16" xfId="3" applyFont="1" applyBorder="1"/>
    <xf numFmtId="0" fontId="7" fillId="0" borderId="2" xfId="3" applyFont="1" applyBorder="1" applyAlignment="1">
      <alignment horizontal="center" vertical="center" wrapText="1"/>
    </xf>
    <xf numFmtId="49" fontId="7" fillId="0" borderId="12" xfId="3" applyNumberFormat="1" applyFont="1" applyBorder="1" applyAlignment="1">
      <alignment horizontal="center"/>
    </xf>
    <xf numFmtId="49" fontId="7" fillId="0" borderId="0" xfId="3" applyNumberFormat="1" applyFont="1" applyAlignment="1">
      <alignment horizontal="center" vertical="center" wrapText="1"/>
    </xf>
    <xf numFmtId="49" fontId="7" fillId="0" borderId="13" xfId="3" applyNumberFormat="1" applyFont="1" applyBorder="1" applyAlignment="1">
      <alignment horizontal="center" vertical="center" wrapText="1"/>
    </xf>
    <xf numFmtId="49" fontId="7" fillId="0" borderId="14" xfId="3" applyNumberFormat="1" applyFont="1" applyBorder="1" applyAlignment="1">
      <alignment horizontal="center" vertical="center" wrapText="1"/>
    </xf>
    <xf numFmtId="49" fontId="7" fillId="0" borderId="2" xfId="3" applyNumberFormat="1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49" fontId="7" fillId="0" borderId="0" xfId="3" applyNumberFormat="1" applyFont="1" applyAlignment="1">
      <alignment horizontal="center"/>
    </xf>
    <xf numFmtId="43" fontId="7" fillId="0" borderId="2" xfId="1" applyFont="1" applyBorder="1" applyAlignment="1">
      <alignment horizontal="center"/>
    </xf>
    <xf numFmtId="165" fontId="7" fillId="0" borderId="12" xfId="1" applyNumberFormat="1" applyFont="1" applyBorder="1" applyAlignment="1">
      <alignment vertical="center" wrapText="1"/>
    </xf>
    <xf numFmtId="165" fontId="7" fillId="0" borderId="12" xfId="1" applyNumberFormat="1" applyFont="1" applyBorder="1" applyAlignment="1">
      <alignment horizontal="center" vertical="center" wrapText="1"/>
    </xf>
    <xf numFmtId="164" fontId="7" fillId="0" borderId="0" xfId="1" applyNumberFormat="1" applyFont="1" applyAlignment="1">
      <alignment horizontal="center"/>
    </xf>
    <xf numFmtId="165" fontId="7" fillId="0" borderId="0" xfId="1" applyNumberFormat="1" applyFont="1" applyBorder="1" applyAlignment="1">
      <alignment horizontal="center" vertical="center" wrapText="1"/>
    </xf>
    <xf numFmtId="0" fontId="8" fillId="0" borderId="16" xfId="3" applyFont="1" applyBorder="1"/>
    <xf numFmtId="0" fontId="9" fillId="0" borderId="0" xfId="3" applyFont="1"/>
    <xf numFmtId="0" fontId="7" fillId="0" borderId="0" xfId="3" applyFont="1"/>
    <xf numFmtId="10" fontId="7" fillId="0" borderId="16" xfId="2" applyNumberFormat="1" applyFont="1" applyFill="1" applyBorder="1" applyAlignment="1">
      <alignment vertical="center" wrapText="1"/>
    </xf>
    <xf numFmtId="0" fontId="7" fillId="0" borderId="16" xfId="3" applyFont="1" applyBorder="1" applyAlignment="1">
      <alignment vertical="center" wrapText="1"/>
    </xf>
    <xf numFmtId="0" fontId="7" fillId="0" borderId="17" xfId="3" applyFont="1" applyBorder="1" applyAlignment="1">
      <alignment vertical="center" wrapText="1"/>
    </xf>
    <xf numFmtId="6" fontId="7" fillId="0" borderId="18" xfId="3" quotePrefix="1" applyNumberFormat="1" applyFont="1" applyBorder="1" applyAlignment="1">
      <alignment horizontal="center" vertical="center" wrapText="1"/>
    </xf>
    <xf numFmtId="49" fontId="7" fillId="0" borderId="19" xfId="3" applyNumberFormat="1" applyFont="1" applyBorder="1" applyAlignment="1">
      <alignment horizontal="center"/>
    </xf>
    <xf numFmtId="166" fontId="7" fillId="0" borderId="20" xfId="1" applyNumberFormat="1" applyFont="1" applyFill="1" applyBorder="1" applyAlignment="1">
      <alignment vertical="center" wrapText="1"/>
    </xf>
    <xf numFmtId="49" fontId="7" fillId="0" borderId="21" xfId="3" applyNumberFormat="1" applyFont="1" applyBorder="1" applyAlignment="1">
      <alignment horizontal="center"/>
    </xf>
    <xf numFmtId="49" fontId="7" fillId="0" borderId="22" xfId="3" applyNumberFormat="1" applyFont="1" applyBorder="1" applyAlignment="1">
      <alignment vertical="center" wrapText="1"/>
    </xf>
    <xf numFmtId="49" fontId="7" fillId="0" borderId="20" xfId="3" applyNumberFormat="1" applyFont="1" applyBorder="1" applyAlignment="1">
      <alignment horizontal="center"/>
    </xf>
    <xf numFmtId="49" fontId="7" fillId="0" borderId="18" xfId="3" applyNumberFormat="1" applyFont="1" applyBorder="1" applyAlignment="1">
      <alignment vertical="center" wrapText="1"/>
    </xf>
    <xf numFmtId="0" fontId="4" fillId="0" borderId="20" xfId="3" applyBorder="1" applyAlignment="1">
      <alignment vertical="center" wrapText="1"/>
    </xf>
    <xf numFmtId="0" fontId="7" fillId="4" borderId="23" xfId="3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4" fillId="2" borderId="0" xfId="3" applyFill="1"/>
    <xf numFmtId="0" fontId="4" fillId="0" borderId="16" xfId="3" applyBorder="1"/>
    <xf numFmtId="166" fontId="4" fillId="0" borderId="2" xfId="1" applyNumberFormat="1" applyFont="1" applyFill="1" applyBorder="1" applyAlignment="1">
      <alignment horizontal="center"/>
    </xf>
    <xf numFmtId="165" fontId="7" fillId="0" borderId="12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Alignment="1">
      <alignment horizontal="center"/>
    </xf>
    <xf numFmtId="10" fontId="4" fillId="0" borderId="0" xfId="3" applyNumberFormat="1" applyAlignment="1">
      <alignment horizontal="center"/>
    </xf>
    <xf numFmtId="1" fontId="4" fillId="0" borderId="0" xfId="3" applyNumberFormat="1" applyAlignment="1">
      <alignment horizontal="center"/>
    </xf>
    <xf numFmtId="165" fontId="7" fillId="0" borderId="0" xfId="1" applyNumberFormat="1" applyFont="1" applyFill="1" applyAlignment="1">
      <alignment horizontal="center" vertical="center" wrapText="1"/>
    </xf>
    <xf numFmtId="166" fontId="7" fillId="4" borderId="9" xfId="1" applyNumberFormat="1" applyFont="1" applyFill="1" applyBorder="1" applyAlignment="1">
      <alignment horizontal="center" vertical="center" wrapText="1"/>
    </xf>
    <xf numFmtId="164" fontId="7" fillId="4" borderId="24" xfId="1" applyNumberFormat="1" applyFont="1" applyFill="1" applyBorder="1" applyAlignment="1">
      <alignment horizontal="center"/>
    </xf>
    <xf numFmtId="166" fontId="7" fillId="5" borderId="9" xfId="4" applyNumberFormat="1" applyFont="1" applyFill="1" applyBorder="1" applyAlignment="1">
      <alignment horizontal="center" vertical="center"/>
    </xf>
    <xf numFmtId="167" fontId="7" fillId="6" borderId="24" xfId="1" applyNumberFormat="1" applyFont="1" applyFill="1" applyBorder="1" applyAlignment="1">
      <alignment horizontal="center"/>
    </xf>
    <xf numFmtId="0" fontId="7" fillId="3" borderId="15" xfId="3" applyFont="1" applyFill="1" applyBorder="1" applyAlignment="1">
      <alignment horizontal="center"/>
    </xf>
    <xf numFmtId="0" fontId="7" fillId="7" borderId="15" xfId="3" applyFont="1" applyFill="1" applyBorder="1" applyAlignment="1">
      <alignment horizontal="center"/>
    </xf>
    <xf numFmtId="0" fontId="7" fillId="6" borderId="15" xfId="3" applyFont="1" applyFill="1" applyBorder="1" applyAlignment="1">
      <alignment horizontal="center"/>
    </xf>
    <xf numFmtId="166" fontId="7" fillId="4" borderId="15" xfId="1" applyNumberFormat="1" applyFont="1" applyFill="1" applyBorder="1" applyAlignment="1">
      <alignment horizontal="center" vertical="center" wrapText="1"/>
    </xf>
    <xf numFmtId="166" fontId="7" fillId="5" borderId="15" xfId="4" applyNumberFormat="1" applyFont="1" applyFill="1" applyBorder="1" applyAlignment="1">
      <alignment horizontal="center" vertical="center"/>
    </xf>
    <xf numFmtId="0" fontId="4" fillId="0" borderId="24" xfId="3" applyBorder="1"/>
    <xf numFmtId="0" fontId="4" fillId="2" borderId="24" xfId="3" applyFill="1" applyBorder="1"/>
    <xf numFmtId="0" fontId="4" fillId="0" borderId="0" xfId="3" applyAlignment="1">
      <alignment horizontal="left"/>
    </xf>
    <xf numFmtId="0" fontId="4" fillId="8" borderId="16" xfId="3" applyFill="1" applyBorder="1"/>
    <xf numFmtId="166" fontId="4" fillId="8" borderId="2" xfId="1" applyNumberFormat="1" applyFont="1" applyFill="1" applyBorder="1" applyAlignment="1">
      <alignment horizontal="center"/>
    </xf>
    <xf numFmtId="165" fontId="7" fillId="8" borderId="12" xfId="1" applyNumberFormat="1" applyFont="1" applyFill="1" applyBorder="1" applyAlignment="1">
      <alignment horizontal="center" vertical="center" wrapText="1"/>
    </xf>
    <xf numFmtId="166" fontId="4" fillId="8" borderId="0" xfId="1" applyNumberFormat="1" applyFont="1" applyFill="1" applyAlignment="1">
      <alignment horizontal="center"/>
    </xf>
    <xf numFmtId="10" fontId="4" fillId="8" borderId="0" xfId="3" applyNumberFormat="1" applyFill="1" applyAlignment="1">
      <alignment horizontal="center"/>
    </xf>
    <xf numFmtId="1" fontId="4" fillId="8" borderId="0" xfId="3" applyNumberFormat="1" applyFill="1" applyAlignment="1">
      <alignment horizontal="center"/>
    </xf>
    <xf numFmtId="165" fontId="7" fillId="8" borderId="0" xfId="1" applyNumberFormat="1" applyFont="1" applyFill="1" applyAlignment="1">
      <alignment horizontal="center" vertical="center" wrapText="1"/>
    </xf>
    <xf numFmtId="166" fontId="7" fillId="8" borderId="15" xfId="1" applyNumberFormat="1" applyFont="1" applyFill="1" applyBorder="1" applyAlignment="1">
      <alignment horizontal="center" vertical="center" wrapText="1"/>
    </xf>
    <xf numFmtId="164" fontId="7" fillId="8" borderId="24" xfId="1" applyNumberFormat="1" applyFont="1" applyFill="1" applyBorder="1" applyAlignment="1">
      <alignment horizontal="center"/>
    </xf>
    <xf numFmtId="0" fontId="4" fillId="0" borderId="17" xfId="3" applyBorder="1"/>
    <xf numFmtId="166" fontId="4" fillId="0" borderId="18" xfId="1" applyNumberFormat="1" applyFont="1" applyFill="1" applyBorder="1" applyAlignment="1">
      <alignment horizontal="center"/>
    </xf>
    <xf numFmtId="165" fontId="7" fillId="0" borderId="19" xfId="1" applyNumberFormat="1" applyFont="1" applyFill="1" applyBorder="1" applyAlignment="1">
      <alignment horizontal="center" vertical="center" wrapText="1"/>
    </xf>
    <xf numFmtId="166" fontId="4" fillId="2" borderId="20" xfId="1" applyNumberFormat="1" applyFont="1" applyFill="1" applyBorder="1" applyAlignment="1">
      <alignment horizontal="center"/>
    </xf>
    <xf numFmtId="10" fontId="4" fillId="2" borderId="20" xfId="3" applyNumberFormat="1" applyFill="1" applyBorder="1" applyAlignment="1">
      <alignment horizontal="center"/>
    </xf>
    <xf numFmtId="1" fontId="4" fillId="2" borderId="20" xfId="3" applyNumberFormat="1" applyFill="1" applyBorder="1" applyAlignment="1">
      <alignment horizontal="center"/>
    </xf>
    <xf numFmtId="1" fontId="4" fillId="0" borderId="20" xfId="3" applyNumberFormat="1" applyBorder="1" applyAlignment="1">
      <alignment horizontal="center"/>
    </xf>
    <xf numFmtId="1" fontId="4" fillId="0" borderId="18" xfId="3" applyNumberFormat="1" applyBorder="1" applyAlignment="1">
      <alignment horizontal="center"/>
    </xf>
    <xf numFmtId="165" fontId="7" fillId="0" borderId="20" xfId="1" applyNumberFormat="1" applyFont="1" applyFill="1" applyBorder="1" applyAlignment="1">
      <alignment horizontal="center" vertical="center" wrapText="1"/>
    </xf>
    <xf numFmtId="166" fontId="7" fillId="4" borderId="23" xfId="1" applyNumberFormat="1" applyFont="1" applyFill="1" applyBorder="1" applyAlignment="1">
      <alignment horizontal="center" vertical="center" wrapText="1"/>
    </xf>
    <xf numFmtId="164" fontId="7" fillId="4" borderId="25" xfId="1" applyNumberFormat="1" applyFont="1" applyFill="1" applyBorder="1" applyAlignment="1">
      <alignment horizontal="center"/>
    </xf>
    <xf numFmtId="166" fontId="7" fillId="5" borderId="23" xfId="4" applyNumberFormat="1" applyFont="1" applyFill="1" applyBorder="1" applyAlignment="1">
      <alignment horizontal="center" vertical="center"/>
    </xf>
    <xf numFmtId="167" fontId="7" fillId="6" borderId="25" xfId="1" applyNumberFormat="1" applyFont="1" applyFill="1" applyBorder="1" applyAlignment="1">
      <alignment horizontal="center"/>
    </xf>
    <xf numFmtId="0" fontId="7" fillId="3" borderId="23" xfId="3" applyFont="1" applyFill="1" applyBorder="1" applyAlignment="1">
      <alignment horizontal="center"/>
    </xf>
    <xf numFmtId="0" fontId="7" fillId="7" borderId="23" xfId="3" applyFont="1" applyFill="1" applyBorder="1" applyAlignment="1">
      <alignment horizontal="center"/>
    </xf>
    <xf numFmtId="0" fontId="7" fillId="6" borderId="23" xfId="3" applyFont="1" applyFill="1" applyBorder="1" applyAlignment="1">
      <alignment horizontal="center"/>
    </xf>
    <xf numFmtId="166" fontId="4" fillId="2" borderId="0" xfId="1" applyNumberFormat="1" applyFont="1" applyFill="1" applyAlignment="1">
      <alignment horizontal="center"/>
    </xf>
    <xf numFmtId="165" fontId="7" fillId="2" borderId="0" xfId="1" applyNumberFormat="1" applyFont="1" applyFill="1" applyAlignment="1">
      <alignment horizontal="center" vertical="center" wrapText="1"/>
    </xf>
    <xf numFmtId="10" fontId="4" fillId="2" borderId="0" xfId="3" applyNumberFormat="1" applyFill="1" applyAlignment="1">
      <alignment horizontal="center"/>
    </xf>
    <xf numFmtId="1" fontId="4" fillId="2" borderId="0" xfId="3" applyNumberFormat="1" applyFill="1" applyAlignment="1">
      <alignment horizontal="center"/>
    </xf>
    <xf numFmtId="165" fontId="7" fillId="0" borderId="0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/>
    </xf>
    <xf numFmtId="166" fontId="7" fillId="0" borderId="6" xfId="1" applyNumberFormat="1" applyFont="1" applyBorder="1" applyAlignment="1">
      <alignment horizontal="center" vertical="center"/>
    </xf>
    <xf numFmtId="0" fontId="7" fillId="0" borderId="0" xfId="3" applyFont="1" applyAlignment="1">
      <alignment horizontal="center"/>
    </xf>
    <xf numFmtId="0" fontId="7" fillId="0" borderId="26" xfId="3" applyFont="1" applyBorder="1"/>
    <xf numFmtId="0" fontId="7" fillId="0" borderId="27" xfId="3" applyFont="1" applyBorder="1"/>
    <xf numFmtId="41" fontId="7" fillId="0" borderId="27" xfId="3" applyNumberFormat="1" applyFont="1" applyBorder="1"/>
    <xf numFmtId="10" fontId="7" fillId="0" borderId="27" xfId="3" applyNumberFormat="1" applyFont="1" applyBorder="1" applyAlignment="1">
      <alignment horizontal="center"/>
    </xf>
    <xf numFmtId="166" fontId="7" fillId="0" borderId="27" xfId="1" applyNumberFormat="1" applyFont="1" applyBorder="1"/>
    <xf numFmtId="1" fontId="7" fillId="0" borderId="27" xfId="3" applyNumberFormat="1" applyFont="1" applyBorder="1"/>
    <xf numFmtId="41" fontId="7" fillId="0" borderId="28" xfId="3" applyNumberFormat="1" applyFont="1" applyBorder="1"/>
    <xf numFmtId="166" fontId="4" fillId="0" borderId="0" xfId="3" applyNumberFormat="1" applyAlignment="1">
      <alignment horizontal="center"/>
    </xf>
    <xf numFmtId="41" fontId="4" fillId="0" borderId="0" xfId="3" applyNumberFormat="1"/>
    <xf numFmtId="166" fontId="4" fillId="0" borderId="0" xfId="1" applyNumberFormat="1" applyFont="1"/>
    <xf numFmtId="1" fontId="4" fillId="0" borderId="0" xfId="3" applyNumberFormat="1"/>
    <xf numFmtId="0" fontId="4" fillId="0" borderId="0" xfId="3" applyAlignment="1">
      <alignment horizontal="center" vertical="center"/>
    </xf>
    <xf numFmtId="164" fontId="4" fillId="0" borderId="0" xfId="1" applyNumberFormat="1" applyFont="1" applyAlignment="1">
      <alignment horizontal="center"/>
    </xf>
    <xf numFmtId="0" fontId="4" fillId="0" borderId="26" xfId="3" applyBorder="1"/>
    <xf numFmtId="0" fontId="4" fillId="0" borderId="27" xfId="3" applyBorder="1"/>
    <xf numFmtId="0" fontId="4" fillId="0" borderId="28" xfId="3" applyBorder="1"/>
    <xf numFmtId="166" fontId="4" fillId="0" borderId="0" xfId="3" applyNumberFormat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/>
    </xf>
    <xf numFmtId="166" fontId="4" fillId="0" borderId="0" xfId="3" applyNumberFormat="1"/>
    <xf numFmtId="166" fontId="4" fillId="0" borderId="24" xfId="3" applyNumberFormat="1" applyBorder="1"/>
    <xf numFmtId="0" fontId="4" fillId="0" borderId="20" xfId="3" applyBorder="1"/>
    <xf numFmtId="168" fontId="10" fillId="0" borderId="20" xfId="0" applyNumberFormat="1" applyFont="1" applyBorder="1"/>
    <xf numFmtId="0" fontId="4" fillId="0" borderId="25" xfId="3" applyBorder="1"/>
    <xf numFmtId="164" fontId="4" fillId="0" borderId="0" xfId="1" applyNumberFormat="1" applyFont="1" applyFill="1" applyBorder="1" applyAlignment="1">
      <alignment horizontal="center" vertical="center"/>
    </xf>
    <xf numFmtId="0" fontId="4" fillId="8" borderId="0" xfId="3" applyFill="1"/>
    <xf numFmtId="0" fontId="11" fillId="0" borderId="0" xfId="3" applyFont="1"/>
    <xf numFmtId="166" fontId="4" fillId="0" borderId="0" xfId="1" applyNumberFormat="1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 vertical="center"/>
    </xf>
    <xf numFmtId="169" fontId="4" fillId="0" borderId="0" xfId="2" applyNumberFormat="1" applyFont="1" applyFill="1" applyBorder="1"/>
    <xf numFmtId="164" fontId="4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/>
    </xf>
  </cellXfs>
  <cellStyles count="5">
    <cellStyle name="Comma" xfId="1" builtinId="3"/>
    <cellStyle name="Comma 2" xfId="4" xr:uid="{ABC50DF8-6EA9-45D4-B207-3F68F2BBF7A8}"/>
    <cellStyle name="Normal" xfId="0" builtinId="0"/>
    <cellStyle name="Normal 2 2" xfId="3" xr:uid="{A82FA92E-6BF2-4AF6-AF1A-4F3A1F69F83A}"/>
    <cellStyle name="Percent" xfId="2" builtin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nding%20Spreadsheet%202020_with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icense%20Backup\2014-2015\SPRLNK201512L1\CRKN%202013-14%20Foreign%20Exchange%20Commitment%20amoun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icense%20Backup\2014-2015\SPRLNK201512L1\SPRLNK201412L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ding System"/>
      <sheetName val="SponsoredResearch"/>
      <sheetName val="UC Enrolment Data"/>
      <sheetName val="Faculty"/>
      <sheetName val="caubo15-16"/>
      <sheetName val="CAUBO16-17"/>
      <sheetName val="CAUBO17-18"/>
      <sheetName val="2017 Student FTE"/>
      <sheetName val="2018 Student FTE"/>
      <sheetName val="2019 Student FTE"/>
      <sheetName val="FTE Faculty 2016-2018"/>
      <sheetName val="FTE Faculty 2018-2019"/>
      <sheetName val="Lookup"/>
      <sheetName val="Overview by Member"/>
    </sheetNames>
    <sheetDataSet>
      <sheetData sheetId="0"/>
      <sheetData sheetId="1">
        <row r="7">
          <cell r="B7" t="str">
            <v>Université Sainte-Anne</v>
          </cell>
          <cell r="C7">
            <v>1</v>
          </cell>
          <cell r="D7">
            <v>252</v>
          </cell>
          <cell r="E7">
            <v>0</v>
          </cell>
          <cell r="F7">
            <v>427</v>
          </cell>
          <cell r="G7">
            <v>5.7810566282251224E-5</v>
          </cell>
          <cell r="H7">
            <v>572</v>
          </cell>
          <cell r="I7">
            <v>7.4756280801842147E-5</v>
          </cell>
          <cell r="K7">
            <v>339</v>
          </cell>
          <cell r="L7">
            <v>417</v>
          </cell>
        </row>
        <row r="8">
          <cell r="B8" t="str">
            <v>The King's University</v>
          </cell>
          <cell r="C8">
            <v>1</v>
          </cell>
          <cell r="D8">
            <v>213</v>
          </cell>
          <cell r="E8">
            <v>5.2048230966390741E-5</v>
          </cell>
          <cell r="F8">
            <v>198</v>
          </cell>
          <cell r="G8">
            <v>2.6806773123854196E-5</v>
          </cell>
          <cell r="H8">
            <v>400</v>
          </cell>
          <cell r="I8">
            <v>5.2277119441847649E-5</v>
          </cell>
          <cell r="K8">
            <v>254</v>
          </cell>
          <cell r="L8">
            <v>270</v>
          </cell>
        </row>
        <row r="9">
          <cell r="B9" t="str">
            <v>NSCAD University</v>
          </cell>
          <cell r="C9">
            <v>1</v>
          </cell>
          <cell r="D9">
            <v>274</v>
          </cell>
          <cell r="E9">
            <v>7.7776617864549802E-5</v>
          </cell>
          <cell r="F9">
            <v>475</v>
          </cell>
          <cell r="G9">
            <v>6.4309177948640114E-5</v>
          </cell>
          <cell r="H9">
            <v>591</v>
          </cell>
          <cell r="I9">
            <v>7.7239443975329899E-5</v>
          </cell>
          <cell r="K9">
            <v>425</v>
          </cell>
          <cell r="L9">
            <v>447</v>
          </cell>
        </row>
        <row r="10">
          <cell r="B10" t="str">
            <v>Algoma University</v>
          </cell>
          <cell r="C10">
            <v>1</v>
          </cell>
          <cell r="D10">
            <v>853</v>
          </cell>
          <cell r="E10">
            <v>1.5924984304205349E-4</v>
          </cell>
          <cell r="F10">
            <v>917</v>
          </cell>
          <cell r="G10">
            <v>1.2415056037663787E-4</v>
          </cell>
          <cell r="H10">
            <v>915</v>
          </cell>
          <cell r="I10">
            <v>1.195839107232265E-4</v>
          </cell>
          <cell r="K10">
            <v>949</v>
          </cell>
          <cell r="L10">
            <v>895</v>
          </cell>
        </row>
        <row r="11">
          <cell r="B11" t="str">
            <v>Concordia University of Edmonton</v>
          </cell>
          <cell r="C11">
            <v>1</v>
          </cell>
          <cell r="D11">
            <v>207</v>
          </cell>
          <cell r="E11">
            <v>5.1752502381354435E-6</v>
          </cell>
          <cell r="F11">
            <v>137</v>
          </cell>
          <cell r="G11">
            <v>1.8548120797818308E-5</v>
          </cell>
          <cell r="H11">
            <v>39</v>
          </cell>
          <cell r="I11">
            <v>5.0970191455801464E-6</v>
          </cell>
          <cell r="K11">
            <v>126</v>
          </cell>
          <cell r="L11">
            <v>128</v>
          </cell>
        </row>
        <row r="12">
          <cell r="B12" t="str">
            <v>École nationale d'administration publique</v>
          </cell>
          <cell r="C12">
            <v>1</v>
          </cell>
          <cell r="D12">
            <v>3484</v>
          </cell>
          <cell r="E12">
            <v>8.345460669724697E-4</v>
          </cell>
          <cell r="F12">
            <v>3301</v>
          </cell>
          <cell r="G12">
            <v>4.4691493980728638E-4</v>
          </cell>
          <cell r="H12">
            <v>3147</v>
          </cell>
          <cell r="I12">
            <v>4.1129023720873641E-4</v>
          </cell>
          <cell r="K12">
            <v>4143</v>
          </cell>
          <cell r="L12">
            <v>3311</v>
          </cell>
        </row>
        <row r="13">
          <cell r="B13" t="str">
            <v>Trinity Western University</v>
          </cell>
          <cell r="C13">
            <v>2</v>
          </cell>
          <cell r="D13">
            <v>1542</v>
          </cell>
          <cell r="E13">
            <v>1.7536705092653244E-4</v>
          </cell>
          <cell r="F13">
            <v>1392</v>
          </cell>
          <cell r="G13">
            <v>1.8845973832527798E-4</v>
          </cell>
          <cell r="H13">
            <v>1848</v>
          </cell>
          <cell r="I13">
            <v>2.4152029182133614E-4</v>
          </cell>
          <cell r="K13">
            <v>1373</v>
          </cell>
          <cell r="L13">
            <v>1594</v>
          </cell>
        </row>
        <row r="14">
          <cell r="B14" t="str">
            <v>Bishop's University</v>
          </cell>
          <cell r="C14">
            <v>1</v>
          </cell>
          <cell r="D14">
            <v>1426</v>
          </cell>
          <cell r="E14">
            <v>2.2283148882486036E-4</v>
          </cell>
          <cell r="F14">
            <v>1040</v>
          </cell>
          <cell r="G14">
            <v>1.4080325277175942E-4</v>
          </cell>
          <cell r="H14">
            <v>1670</v>
          </cell>
          <cell r="I14">
            <v>2.1825697366971395E-4</v>
          </cell>
          <cell r="K14">
            <v>1324</v>
          </cell>
          <cell r="L14">
            <v>1379</v>
          </cell>
        </row>
        <row r="15">
          <cell r="B15" t="str">
            <v>Mount Saint Vincent University</v>
          </cell>
          <cell r="C15">
            <v>2</v>
          </cell>
          <cell r="D15">
            <v>2075</v>
          </cell>
          <cell r="E15">
            <v>4.7287000747306136E-4</v>
          </cell>
          <cell r="F15">
            <v>2658</v>
          </cell>
          <cell r="G15">
            <v>3.5986062102628513E-4</v>
          </cell>
          <cell r="H15">
            <v>3323</v>
          </cell>
          <cell r="I15">
            <v>4.3429216976314936E-4</v>
          </cell>
          <cell r="K15">
            <v>2644</v>
          </cell>
          <cell r="L15">
            <v>2685</v>
          </cell>
        </row>
        <row r="16">
          <cell r="B16" t="str">
            <v>Cape Breton University</v>
          </cell>
          <cell r="C16">
            <v>2</v>
          </cell>
          <cell r="D16">
            <v>5562</v>
          </cell>
          <cell r="E16">
            <v>8.1650662328525473E-4</v>
          </cell>
          <cell r="F16">
            <v>6719</v>
          </cell>
          <cell r="G16">
            <v>9.0967024555139574E-4</v>
          </cell>
          <cell r="H16">
            <v>5629</v>
          </cell>
          <cell r="I16">
            <v>7.356697633454011E-4</v>
          </cell>
          <cell r="K16">
            <v>5934</v>
          </cell>
          <cell r="L16">
            <v>5970</v>
          </cell>
        </row>
        <row r="17">
          <cell r="B17" t="str">
            <v>Royal Roads University</v>
          </cell>
          <cell r="C17">
            <v>1</v>
          </cell>
          <cell r="D17">
            <v>1876</v>
          </cell>
          <cell r="E17">
            <v>2.5033424723323731E-4</v>
          </cell>
          <cell r="F17">
            <v>2031</v>
          </cell>
          <cell r="G17">
            <v>2.7497250613408019E-4</v>
          </cell>
          <cell r="H17">
            <v>2234</v>
          </cell>
          <cell r="I17">
            <v>2.9196771208271914E-4</v>
          </cell>
          <cell r="K17">
            <v>1867</v>
          </cell>
          <cell r="L17">
            <v>2047</v>
          </cell>
        </row>
        <row r="18">
          <cell r="B18" t="str">
            <v>Université du Québec en Abitibi-Témiscamingue</v>
          </cell>
          <cell r="C18">
            <v>2</v>
          </cell>
          <cell r="D18">
            <v>15758</v>
          </cell>
          <cell r="E18">
            <v>2.3905220171410203E-3</v>
          </cell>
          <cell r="F18">
            <v>16153</v>
          </cell>
          <cell r="G18">
            <v>2.1869182134829131E-3</v>
          </cell>
          <cell r="H18">
            <v>19400</v>
          </cell>
          <cell r="I18">
            <v>2.535440292929611E-3</v>
          </cell>
          <cell r="K18">
            <v>16026</v>
          </cell>
          <cell r="L18">
            <v>17104</v>
          </cell>
        </row>
        <row r="19">
          <cell r="B19" t="str">
            <v>Mount Allison University</v>
          </cell>
          <cell r="C19">
            <v>2</v>
          </cell>
          <cell r="D19">
            <v>4214</v>
          </cell>
          <cell r="E19">
            <v>5.6898179760986247E-4</v>
          </cell>
          <cell r="F19">
            <v>4330</v>
          </cell>
          <cell r="G19">
            <v>5.8622892740549837E-4</v>
          </cell>
          <cell r="H19">
            <v>4821</v>
          </cell>
          <cell r="I19">
            <v>6.300699820728688E-4</v>
          </cell>
          <cell r="K19">
            <v>4131</v>
          </cell>
          <cell r="L19">
            <v>4455</v>
          </cell>
        </row>
        <row r="20">
          <cell r="B20" t="str">
            <v>Brandon University</v>
          </cell>
          <cell r="C20">
            <v>2</v>
          </cell>
          <cell r="D20">
            <v>2188</v>
          </cell>
          <cell r="E20">
            <v>3.6004955228170868E-4</v>
          </cell>
          <cell r="F20">
            <v>2079</v>
          </cell>
          <cell r="G20">
            <v>2.8147111780046908E-4</v>
          </cell>
          <cell r="H20">
            <v>3163</v>
          </cell>
          <cell r="I20">
            <v>4.1338132198641029E-4</v>
          </cell>
          <cell r="K20">
            <v>2234</v>
          </cell>
          <cell r="L20">
            <v>2477</v>
          </cell>
        </row>
        <row r="21">
          <cell r="B21" t="str">
            <v>OCAD University</v>
          </cell>
          <cell r="C21">
            <v>2</v>
          </cell>
          <cell r="D21">
            <v>5073</v>
          </cell>
          <cell r="E21">
            <v>6.6642436637932693E-4</v>
          </cell>
          <cell r="F21">
            <v>3388</v>
          </cell>
          <cell r="G21">
            <v>4.5869367345261624E-4</v>
          </cell>
          <cell r="H21">
            <v>3511</v>
          </cell>
          <cell r="I21">
            <v>4.5886241590081778E-4</v>
          </cell>
          <cell r="K21">
            <v>4323</v>
          </cell>
          <cell r="L21">
            <v>3991</v>
          </cell>
        </row>
        <row r="22">
          <cell r="B22" t="str">
            <v>Télé-université du Québec</v>
          </cell>
          <cell r="C22">
            <v>2</v>
          </cell>
          <cell r="D22">
            <v>2666</v>
          </cell>
          <cell r="E22">
            <v>4.5660493529606422E-4</v>
          </cell>
          <cell r="F22">
            <v>3480</v>
          </cell>
          <cell r="G22">
            <v>4.7114934581319495E-4</v>
          </cell>
          <cell r="H22">
            <v>3775</v>
          </cell>
          <cell r="I22">
            <v>4.9336531473243722E-4</v>
          </cell>
          <cell r="K22">
            <v>3078</v>
          </cell>
          <cell r="L22">
            <v>3307</v>
          </cell>
        </row>
        <row r="23">
          <cell r="B23" t="str">
            <v>Nipissing University</v>
          </cell>
          <cell r="C23">
            <v>2</v>
          </cell>
          <cell r="D23">
            <v>2138</v>
          </cell>
          <cell r="E23">
            <v>3.0888850707042688E-4</v>
          </cell>
          <cell r="F23">
            <v>2385</v>
          </cell>
          <cell r="G23">
            <v>3.2289976717369829E-4</v>
          </cell>
          <cell r="H23">
            <v>3320</v>
          </cell>
          <cell r="I23">
            <v>4.3390009136733549E-4</v>
          </cell>
          <cell r="K23">
            <v>2204</v>
          </cell>
          <cell r="L23">
            <v>2614</v>
          </cell>
        </row>
        <row r="24">
          <cell r="B24" t="str">
            <v>University of Northern British Columbia</v>
          </cell>
          <cell r="C24">
            <v>3</v>
          </cell>
          <cell r="D24">
            <v>7640</v>
          </cell>
          <cell r="E24">
            <v>1.6751545699381838E-3</v>
          </cell>
          <cell r="F24">
            <v>9913</v>
          </cell>
          <cell r="G24">
            <v>1.3420986968523568E-3</v>
          </cell>
          <cell r="H24">
            <v>9084</v>
          </cell>
          <cell r="I24">
            <v>1.1872133825243602E-3</v>
          </cell>
          <cell r="K24">
            <v>9627</v>
          </cell>
          <cell r="L24">
            <v>8879</v>
          </cell>
        </row>
        <row r="25">
          <cell r="B25" t="str">
            <v>Acadia University</v>
          </cell>
          <cell r="C25">
            <v>2</v>
          </cell>
          <cell r="D25">
            <v>6822</v>
          </cell>
          <cell r="E25">
            <v>8.9043876954433257E-4</v>
          </cell>
          <cell r="F25">
            <v>5299</v>
          </cell>
          <cell r="G25">
            <v>7.1741965042072418E-4</v>
          </cell>
          <cell r="H25">
            <v>6381</v>
          </cell>
          <cell r="I25">
            <v>8.3395074789607468E-4</v>
          </cell>
          <cell r="K25">
            <v>6048</v>
          </cell>
          <cell r="L25">
            <v>6167</v>
          </cell>
        </row>
        <row r="26">
          <cell r="B26" t="str">
            <v>Royal Military College of Canada</v>
          </cell>
          <cell r="C26">
            <v>2</v>
          </cell>
          <cell r="D26">
            <v>12484</v>
          </cell>
          <cell r="E26">
            <v>1.7615073167687866E-3</v>
          </cell>
          <cell r="F26">
            <v>12903</v>
          </cell>
          <cell r="G26">
            <v>1.7469080485711652E-3</v>
          </cell>
          <cell r="H26">
            <v>12903</v>
          </cell>
          <cell r="I26">
            <v>1.6863291803954005E-3</v>
          </cell>
          <cell r="K26">
            <v>12433</v>
          </cell>
          <cell r="L26">
            <v>12763</v>
          </cell>
        </row>
        <row r="27">
          <cell r="B27" t="str">
            <v>Université du Québec en Outaouais</v>
          </cell>
          <cell r="C27">
            <v>2</v>
          </cell>
          <cell r="D27">
            <v>7859</v>
          </cell>
          <cell r="E27">
            <v>1.1067642294983941E-3</v>
          </cell>
          <cell r="F27">
            <v>7095</v>
          </cell>
          <cell r="G27">
            <v>9.605760369381087E-4</v>
          </cell>
          <cell r="H27">
            <v>7863</v>
          </cell>
          <cell r="I27">
            <v>1.0276374754281201E-3</v>
          </cell>
          <cell r="K27">
            <v>7480</v>
          </cell>
          <cell r="L27">
            <v>7606</v>
          </cell>
        </row>
        <row r="28">
          <cell r="B28" t="str">
            <v>École de technologie supérieure</v>
          </cell>
          <cell r="C28">
            <v>3</v>
          </cell>
          <cell r="D28">
            <v>26116</v>
          </cell>
          <cell r="E28">
            <v>4.1211256967735128E-3</v>
          </cell>
          <cell r="F28">
            <v>27610</v>
          </cell>
          <cell r="G28">
            <v>3.7380555856041131E-3</v>
          </cell>
          <cell r="H28">
            <v>30165</v>
          </cell>
          <cell r="I28">
            <v>3.9423482699083362E-3</v>
          </cell>
          <cell r="K28">
            <v>27199</v>
          </cell>
          <cell r="L28">
            <v>27964</v>
          </cell>
        </row>
        <row r="29">
          <cell r="B29" t="str">
            <v>St. Francis Xavier University</v>
          </cell>
          <cell r="C29">
            <v>3</v>
          </cell>
          <cell r="D29">
            <v>8334</v>
          </cell>
          <cell r="E29">
            <v>1.058116877259921E-3</v>
          </cell>
          <cell r="F29">
            <v>7665</v>
          </cell>
          <cell r="G29">
            <v>1.0377470504764768E-3</v>
          </cell>
          <cell r="H29">
            <v>7326</v>
          </cell>
          <cell r="I29">
            <v>9.5745544257743972E-4</v>
          </cell>
          <cell r="K29">
            <v>7718</v>
          </cell>
          <cell r="L29">
            <v>7775</v>
          </cell>
        </row>
        <row r="30">
          <cell r="B30" t="str">
            <v>Université du Québec à Rimouski</v>
          </cell>
          <cell r="C30">
            <v>3</v>
          </cell>
          <cell r="D30">
            <v>15963</v>
          </cell>
          <cell r="E30">
            <v>2.5465188457476744E-3</v>
          </cell>
          <cell r="F30">
            <v>20581</v>
          </cell>
          <cell r="G30">
            <v>2.7864151397072891E-3</v>
          </cell>
          <cell r="H30">
            <v>25262</v>
          </cell>
          <cell r="I30">
            <v>3.3015614783498885E-3</v>
          </cell>
          <cell r="K30">
            <v>17922</v>
          </cell>
          <cell r="L30">
            <v>20602</v>
          </cell>
        </row>
        <row r="31">
          <cell r="B31" t="str">
            <v>University of the Fraser Valley</v>
          </cell>
          <cell r="C31">
            <v>3</v>
          </cell>
          <cell r="D31">
            <v>1324</v>
          </cell>
          <cell r="E31">
            <v>2.0124330211720965E-4</v>
          </cell>
          <cell r="F31">
            <v>1381</v>
          </cell>
          <cell r="G31">
            <v>1.8697047315173053E-4</v>
          </cell>
          <cell r="H31">
            <v>2216</v>
          </cell>
          <cell r="I31">
            <v>2.8961524170783599E-4</v>
          </cell>
          <cell r="K31">
            <v>1355</v>
          </cell>
          <cell r="L31">
            <v>1640</v>
          </cell>
        </row>
        <row r="32">
          <cell r="B32" t="str">
            <v>University of Prince Edward Island</v>
          </cell>
          <cell r="C32">
            <v>3</v>
          </cell>
          <cell r="D32">
            <v>13136</v>
          </cell>
          <cell r="E32">
            <v>1.7251327008093204E-3</v>
          </cell>
          <cell r="F32">
            <v>12867</v>
          </cell>
          <cell r="G32">
            <v>1.7420340898213734E-3</v>
          </cell>
          <cell r="H32">
            <v>11363</v>
          </cell>
          <cell r="I32">
            <v>1.4850622705442872E-3</v>
          </cell>
          <cell r="K32">
            <v>12557</v>
          </cell>
          <cell r="L32">
            <v>12455</v>
          </cell>
        </row>
        <row r="33">
          <cell r="B33" t="str">
            <v>Université du Québec à Chicoutimi</v>
          </cell>
          <cell r="C33">
            <v>3</v>
          </cell>
          <cell r="D33">
            <v>22449</v>
          </cell>
          <cell r="E33">
            <v>3.6370180030690711E-3</v>
          </cell>
          <cell r="F33">
            <v>24945</v>
          </cell>
          <cell r="G33">
            <v>3.3772472503764794E-3</v>
          </cell>
          <cell r="H33">
            <v>22628</v>
          </cell>
          <cell r="I33">
            <v>2.9573166468253218E-3</v>
          </cell>
          <cell r="K33">
            <v>23997</v>
          </cell>
          <cell r="L33">
            <v>23341</v>
          </cell>
        </row>
        <row r="34">
          <cell r="B34" t="str">
            <v>Université de Moncton</v>
          </cell>
          <cell r="C34">
            <v>4</v>
          </cell>
          <cell r="D34">
            <v>12057</v>
          </cell>
          <cell r="E34">
            <v>1.4903242042904894E-3</v>
          </cell>
          <cell r="F34">
            <v>11952</v>
          </cell>
          <cell r="G34">
            <v>1.618154304930835E-3</v>
          </cell>
          <cell r="H34">
            <v>11184</v>
          </cell>
          <cell r="I34">
            <v>1.4616682595940604E-3</v>
          </cell>
          <cell r="K34">
            <v>11363</v>
          </cell>
          <cell r="L34">
            <v>11731</v>
          </cell>
        </row>
        <row r="35">
          <cell r="B35" t="str">
            <v>University of Ontario Institute of Technology</v>
          </cell>
          <cell r="C35">
            <v>2</v>
          </cell>
          <cell r="D35">
            <v>10084</v>
          </cell>
          <cell r="E35">
            <v>1.4308827586981909E-3</v>
          </cell>
          <cell r="F35">
            <v>11335</v>
          </cell>
          <cell r="G35">
            <v>1.5346200674691279E-3</v>
          </cell>
          <cell r="H35">
            <v>11908</v>
          </cell>
          <cell r="I35">
            <v>1.5562898457838045E-3</v>
          </cell>
          <cell r="K35">
            <v>10365</v>
          </cell>
          <cell r="L35">
            <v>11109</v>
          </cell>
        </row>
        <row r="36">
          <cell r="B36" t="str">
            <v>Vancouver Island University</v>
          </cell>
          <cell r="C36">
            <v>4</v>
          </cell>
          <cell r="D36">
            <v>1868</v>
          </cell>
          <cell r="E36">
            <v>2.6763436945786149E-4</v>
          </cell>
          <cell r="F36">
            <v>1749</v>
          </cell>
          <cell r="G36">
            <v>2.3679316259404541E-4</v>
          </cell>
          <cell r="H36">
            <v>1314</v>
          </cell>
          <cell r="I36">
            <v>1.7173033736646954E-4</v>
          </cell>
          <cell r="K36">
            <v>1809</v>
          </cell>
          <cell r="L36">
            <v>1644</v>
          </cell>
        </row>
        <row r="37">
          <cell r="B37" t="str">
            <v>Saint Mary's University</v>
          </cell>
          <cell r="C37">
            <v>3</v>
          </cell>
          <cell r="D37">
            <v>7324</v>
          </cell>
          <cell r="E37">
            <v>1.280652637499745E-3</v>
          </cell>
          <cell r="F37">
            <v>8260</v>
          </cell>
          <cell r="G37">
            <v>1.1183027575910893E-3</v>
          </cell>
          <cell r="H37">
            <v>8502</v>
          </cell>
          <cell r="I37">
            <v>1.1111501737364718E-3</v>
          </cell>
          <cell r="K37">
            <v>8082</v>
          </cell>
          <cell r="L37">
            <v>8029</v>
          </cell>
        </row>
        <row r="38">
          <cell r="B38" t="str">
            <v>Institut national de la recherche scientifique</v>
          </cell>
          <cell r="C38">
            <v>3</v>
          </cell>
          <cell r="D38">
            <v>55748</v>
          </cell>
          <cell r="E38">
            <v>7.8888557344286327E-3</v>
          </cell>
          <cell r="F38">
            <v>64434</v>
          </cell>
          <cell r="G38">
            <v>8.7235738356687947E-3</v>
          </cell>
          <cell r="H38">
            <v>64018</v>
          </cell>
          <cell r="I38">
            <v>8.3666915810705067E-3</v>
          </cell>
          <cell r="K38">
            <v>57845</v>
          </cell>
          <cell r="L38">
            <v>61400</v>
          </cell>
        </row>
        <row r="39">
          <cell r="B39" t="str">
            <v>Thompson Rivers University</v>
          </cell>
          <cell r="C39">
            <v>3</v>
          </cell>
          <cell r="D39">
            <v>2541</v>
          </cell>
          <cell r="E39">
            <v>2.7266175540347875E-4</v>
          </cell>
          <cell r="F39">
            <v>2395</v>
          </cell>
          <cell r="G39">
            <v>3.2425364460419596E-4</v>
          </cell>
          <cell r="H39">
            <v>3855</v>
          </cell>
          <cell r="I39">
            <v>5.0382073862080675E-4</v>
          </cell>
          <cell r="K39">
            <v>2260</v>
          </cell>
          <cell r="L39">
            <v>2930</v>
          </cell>
        </row>
        <row r="40">
          <cell r="B40" t="str">
            <v>Trent University</v>
          </cell>
          <cell r="C40">
            <v>4</v>
          </cell>
          <cell r="D40">
            <v>12310</v>
          </cell>
          <cell r="E40">
            <v>2.1968197939422366E-3</v>
          </cell>
          <cell r="F40">
            <v>11411</v>
          </cell>
          <cell r="G40">
            <v>1.5449095359409103E-3</v>
          </cell>
          <cell r="H40">
            <v>11430</v>
          </cell>
          <cell r="I40">
            <v>1.4938186880507967E-3</v>
          </cell>
          <cell r="K40">
            <v>12859</v>
          </cell>
          <cell r="L40">
            <v>11717</v>
          </cell>
        </row>
        <row r="41">
          <cell r="B41" t="str">
            <v>Kwantlen Polytechnic University</v>
          </cell>
          <cell r="C41">
            <v>5</v>
          </cell>
          <cell r="D41">
            <v>876</v>
          </cell>
          <cell r="E41">
            <v>1.5377886421888174E-4</v>
          </cell>
          <cell r="F41">
            <v>1611</v>
          </cell>
          <cell r="G41">
            <v>2.1810965405317734E-4</v>
          </cell>
          <cell r="H41">
            <v>1710</v>
          </cell>
          <cell r="I41">
            <v>2.2348468561389872E-4</v>
          </cell>
          <cell r="K41">
            <v>1176</v>
          </cell>
          <cell r="L41">
            <v>1399</v>
          </cell>
        </row>
        <row r="42">
          <cell r="B42" t="str">
            <v>HEC Montréal</v>
          </cell>
          <cell r="C42">
            <v>3</v>
          </cell>
          <cell r="D42">
            <v>17507</v>
          </cell>
          <cell r="E42">
            <v>2.3403960219773655E-3</v>
          </cell>
          <cell r="F42">
            <v>20192</v>
          </cell>
          <cell r="G42">
            <v>2.733749307660929E-3</v>
          </cell>
          <cell r="H42">
            <v>25505</v>
          </cell>
          <cell r="I42">
            <v>3.3333198284108108E-3</v>
          </cell>
          <cell r="K42">
            <v>17842</v>
          </cell>
          <cell r="L42">
            <v>21068</v>
          </cell>
        </row>
        <row r="43">
          <cell r="B43" t="str">
            <v>Athabasca University</v>
          </cell>
          <cell r="C43">
            <v>3</v>
          </cell>
          <cell r="D43">
            <v>3993</v>
          </cell>
          <cell r="E43">
            <v>6.0920088517480071E-4</v>
          </cell>
          <cell r="F43">
            <v>3574</v>
          </cell>
          <cell r="G43">
            <v>4.8387579365987321E-4</v>
          </cell>
          <cell r="H43">
            <v>2469</v>
          </cell>
          <cell r="I43">
            <v>3.2268051975480462E-4</v>
          </cell>
          <cell r="K43">
            <v>3896</v>
          </cell>
          <cell r="L43">
            <v>3345</v>
          </cell>
        </row>
        <row r="44">
          <cell r="B44" t="str">
            <v>University of Winnipeg</v>
          </cell>
          <cell r="C44">
            <v>3</v>
          </cell>
          <cell r="D44">
            <v>7730</v>
          </cell>
          <cell r="E44">
            <v>1.235997621159262E-3</v>
          </cell>
          <cell r="F44">
            <v>9524</v>
          </cell>
          <cell r="G44">
            <v>1.2894328648059969E-3</v>
          </cell>
          <cell r="H44">
            <v>9419</v>
          </cell>
          <cell r="I44">
            <v>1.2309954700569076E-3</v>
          </cell>
          <cell r="K44">
            <v>8538</v>
          </cell>
          <cell r="L44">
            <v>8891</v>
          </cell>
        </row>
        <row r="45">
          <cell r="B45" t="str">
            <v>Lakehead University</v>
          </cell>
          <cell r="C45">
            <v>4</v>
          </cell>
          <cell r="D45">
            <v>19694</v>
          </cell>
          <cell r="E45">
            <v>3.1715412102219175E-3</v>
          </cell>
          <cell r="F45">
            <v>21007</v>
          </cell>
          <cell r="G45">
            <v>2.8440903182464904E-3</v>
          </cell>
          <cell r="H45">
            <v>22725</v>
          </cell>
          <cell r="I45">
            <v>2.9699938482899697E-3</v>
          </cell>
          <cell r="K45">
            <v>20717</v>
          </cell>
          <cell r="L45">
            <v>21142</v>
          </cell>
        </row>
        <row r="46">
          <cell r="B46" t="str">
            <v>Laurentian University</v>
          </cell>
          <cell r="C46">
            <v>4</v>
          </cell>
          <cell r="D46">
            <v>22678</v>
          </cell>
          <cell r="E46">
            <v>2.8290875087498696E-3</v>
          </cell>
          <cell r="F46">
            <v>31078</v>
          </cell>
          <cell r="G46">
            <v>4.207580278500711E-3</v>
          </cell>
          <cell r="H46">
            <v>42763</v>
          </cell>
          <cell r="I46">
            <v>5.5888161467293274E-3</v>
          </cell>
          <cell r="K46">
            <v>24296</v>
          </cell>
          <cell r="L46">
            <v>32173</v>
          </cell>
        </row>
        <row r="47">
          <cell r="B47" t="str">
            <v>Mount Royal University</v>
          </cell>
          <cell r="C47">
            <v>5</v>
          </cell>
          <cell r="D47">
            <v>3231</v>
          </cell>
          <cell r="E47">
            <v>5.1234977357540886E-4</v>
          </cell>
          <cell r="F47">
            <v>2945</v>
          </cell>
          <cell r="G47">
            <v>3.9871690328156871E-4</v>
          </cell>
          <cell r="H47">
            <v>3164</v>
          </cell>
          <cell r="I47">
            <v>4.1351201478501489E-4</v>
          </cell>
          <cell r="K47">
            <v>3214</v>
          </cell>
          <cell r="L47">
            <v>3113</v>
          </cell>
        </row>
        <row r="48">
          <cell r="B48" t="str">
            <v>MacEwan University</v>
          </cell>
          <cell r="C48">
            <v>5</v>
          </cell>
          <cell r="D48">
            <v>410</v>
          </cell>
          <cell r="E48">
            <v>1.2731115585813189E-4</v>
          </cell>
          <cell r="F48">
            <v>1001</v>
          </cell>
          <cell r="G48">
            <v>1.3552313079281844E-4</v>
          </cell>
          <cell r="H48">
            <v>1011</v>
          </cell>
          <cell r="I48">
            <v>1.3213041938926995E-4</v>
          </cell>
          <cell r="K48">
            <v>757</v>
          </cell>
          <cell r="L48">
            <v>807</v>
          </cell>
        </row>
        <row r="49">
          <cell r="B49" t="str">
            <v>École Polytechnique de Montréal</v>
          </cell>
          <cell r="C49">
            <v>4</v>
          </cell>
          <cell r="D49">
            <v>72817</v>
          </cell>
          <cell r="E49">
            <v>1.0265478508072946E-2</v>
          </cell>
          <cell r="F49">
            <v>74936</v>
          </cell>
          <cell r="G49">
            <v>1.0145415913177466E-2</v>
          </cell>
          <cell r="H49">
            <v>81423</v>
          </cell>
          <cell r="I49">
            <v>1.0641399740783904E-2</v>
          </cell>
          <cell r="K49">
            <v>72393</v>
          </cell>
          <cell r="L49">
            <v>76392</v>
          </cell>
        </row>
        <row r="50">
          <cell r="B50" t="str">
            <v>Université du Québec à Trois-Rivières</v>
          </cell>
          <cell r="C50">
            <v>4</v>
          </cell>
          <cell r="D50">
            <v>20237</v>
          </cell>
          <cell r="E50">
            <v>3.1178664720378272E-3</v>
          </cell>
          <cell r="F50">
            <v>19988</v>
          </cell>
          <cell r="G50">
            <v>2.7061302080787762E-3</v>
          </cell>
          <cell r="H50">
            <v>21259</v>
          </cell>
          <cell r="I50">
            <v>2.7783982055355982E-3</v>
          </cell>
          <cell r="K50">
            <v>20437</v>
          </cell>
          <cell r="L50">
            <v>20495</v>
          </cell>
        </row>
        <row r="51">
          <cell r="B51" t="str">
            <v>University of Lethbridge</v>
          </cell>
          <cell r="C51">
            <v>4</v>
          </cell>
          <cell r="D51">
            <v>19678</v>
          </cell>
          <cell r="E51">
            <v>2.7093174318101637E-3</v>
          </cell>
          <cell r="F51">
            <v>17202</v>
          </cell>
          <cell r="G51">
            <v>2.3289399559421205E-3</v>
          </cell>
          <cell r="H51">
            <v>15165</v>
          </cell>
          <cell r="I51">
            <v>1.981956290839049E-3</v>
          </cell>
          <cell r="K51">
            <v>18401</v>
          </cell>
          <cell r="L51">
            <v>17348</v>
          </cell>
        </row>
        <row r="52">
          <cell r="B52" t="str">
            <v>University of Regina</v>
          </cell>
          <cell r="C52">
            <v>4</v>
          </cell>
          <cell r="D52">
            <v>17609</v>
          </cell>
          <cell r="E52">
            <v>2.2720827188339775E-3</v>
          </cell>
          <cell r="F52">
            <v>15429</v>
          </cell>
          <cell r="G52">
            <v>2.0888974875148806E-3</v>
          </cell>
          <cell r="H52">
            <v>18927</v>
          </cell>
          <cell r="I52">
            <v>2.4736225991896263E-3</v>
          </cell>
          <cell r="K52">
            <v>16135</v>
          </cell>
          <cell r="L52">
            <v>17322</v>
          </cell>
        </row>
        <row r="53">
          <cell r="B53" t="str">
            <v>Wilfrid Laurier University</v>
          </cell>
          <cell r="C53">
            <v>5</v>
          </cell>
          <cell r="D53">
            <v>14216</v>
          </cell>
          <cell r="E53">
            <v>1.7073889857071418E-3</v>
          </cell>
          <cell r="F53">
            <v>17738</v>
          </cell>
          <cell r="G53">
            <v>2.4015077862167967E-3</v>
          </cell>
          <cell r="H53">
            <v>18877</v>
          </cell>
          <cell r="I53">
            <v>2.4670879592593952E-3</v>
          </cell>
          <cell r="K53">
            <v>14500</v>
          </cell>
          <cell r="L53">
            <v>16944</v>
          </cell>
        </row>
        <row r="54">
          <cell r="B54" t="str">
            <v>University of Windsor</v>
          </cell>
          <cell r="C54">
            <v>5</v>
          </cell>
          <cell r="D54">
            <v>30041</v>
          </cell>
          <cell r="E54">
            <v>4.3908301663266279E-3</v>
          </cell>
          <cell r="F54">
            <v>26198</v>
          </cell>
          <cell r="G54">
            <v>3.5468880924178397E-3</v>
          </cell>
          <cell r="H54">
            <v>28207</v>
          </cell>
          <cell r="I54">
            <v>3.6864517702404919E-3</v>
          </cell>
          <cell r="K54">
            <v>28645</v>
          </cell>
          <cell r="L54">
            <v>28149</v>
          </cell>
        </row>
        <row r="55">
          <cell r="B55" t="str">
            <v>Brock University</v>
          </cell>
          <cell r="C55">
            <v>5</v>
          </cell>
          <cell r="D55">
            <v>13487</v>
          </cell>
          <cell r="E55">
            <v>1.9985337776753901E-3</v>
          </cell>
          <cell r="F55">
            <v>14228</v>
          </cell>
          <cell r="G55">
            <v>1.9262968081121086E-3</v>
          </cell>
          <cell r="H55">
            <v>15735</v>
          </cell>
          <cell r="I55">
            <v>2.0564511860436821E-3</v>
          </cell>
          <cell r="K55">
            <v>13744</v>
          </cell>
          <cell r="L55">
            <v>14483</v>
          </cell>
        </row>
        <row r="56">
          <cell r="B56" t="str">
            <v>University of New Brunswick</v>
          </cell>
          <cell r="C56">
            <v>5</v>
          </cell>
          <cell r="D56">
            <v>38928</v>
          </cell>
          <cell r="E56">
            <v>6.1866419989596265E-3</v>
          </cell>
          <cell r="F56">
            <v>48958</v>
          </cell>
          <cell r="G56">
            <v>6.6283131242305749E-3</v>
          </cell>
          <cell r="H56">
            <v>39244</v>
          </cell>
          <cell r="I56">
            <v>5.1289081884396733E-3</v>
          </cell>
          <cell r="K56">
            <v>43242</v>
          </cell>
          <cell r="L56">
            <v>42377</v>
          </cell>
        </row>
        <row r="57">
          <cell r="B57" t="str">
            <v>Carleton University</v>
          </cell>
          <cell r="C57">
            <v>5</v>
          </cell>
          <cell r="D57">
            <v>58685</v>
          </cell>
          <cell r="E57">
            <v>8.1820706264921356E-3</v>
          </cell>
          <cell r="F57">
            <v>54365</v>
          </cell>
          <cell r="G57">
            <v>7.360354650900674E-3</v>
          </cell>
          <cell r="H57">
            <v>70298</v>
          </cell>
          <cell r="I57">
            <v>9.1874423563075153E-3</v>
          </cell>
          <cell r="K57">
            <v>56128</v>
          </cell>
          <cell r="L57">
            <v>61116</v>
          </cell>
        </row>
        <row r="58">
          <cell r="B58" t="str">
            <v>Memorial University of Newfoundland</v>
          </cell>
          <cell r="C58">
            <v>5</v>
          </cell>
          <cell r="D58">
            <v>91178</v>
          </cell>
          <cell r="E58">
            <v>1.5436292817432844E-2</v>
          </cell>
          <cell r="F58">
            <v>111778</v>
          </cell>
          <cell r="G58">
            <v>1.5133371142617043E-2</v>
          </cell>
          <cell r="H58">
            <v>116796</v>
          </cell>
          <cell r="I58">
            <v>1.5264396105825096E-2</v>
          </cell>
          <cell r="K58">
            <v>102450</v>
          </cell>
          <cell r="L58">
            <v>106584</v>
          </cell>
        </row>
        <row r="59">
          <cell r="B59" t="str">
            <v>Simon Fraser University</v>
          </cell>
          <cell r="C59">
            <v>5</v>
          </cell>
          <cell r="D59">
            <v>109916</v>
          </cell>
          <cell r="E59">
            <v>1.7359859398801532E-2</v>
          </cell>
          <cell r="F59">
            <v>138964</v>
          </cell>
          <cell r="G59">
            <v>1.8814022325168052E-2</v>
          </cell>
          <cell r="H59">
            <v>142598</v>
          </cell>
          <cell r="I59">
            <v>1.8636531695421479E-2</v>
          </cell>
          <cell r="K59">
            <v>122095</v>
          </cell>
          <cell r="L59">
            <v>130493</v>
          </cell>
        </row>
        <row r="60">
          <cell r="B60" t="str">
            <v>University of Victoria</v>
          </cell>
          <cell r="C60">
            <v>5</v>
          </cell>
          <cell r="D60">
            <v>99589</v>
          </cell>
          <cell r="E60">
            <v>1.5207103164029704E-2</v>
          </cell>
          <cell r="F60">
            <v>114922</v>
          </cell>
          <cell r="G60">
            <v>1.5559030206765516E-2</v>
          </cell>
          <cell r="H60">
            <v>118599</v>
          </cell>
          <cell r="I60">
            <v>1.5500035221709224E-2</v>
          </cell>
          <cell r="K60">
            <v>105785</v>
          </cell>
          <cell r="L60">
            <v>111037</v>
          </cell>
        </row>
        <row r="61">
          <cell r="B61" t="str">
            <v>Ryerson University</v>
          </cell>
          <cell r="C61">
            <v>5</v>
          </cell>
          <cell r="D61">
            <v>47130</v>
          </cell>
          <cell r="E61">
            <v>6.6265382692011392E-3</v>
          </cell>
          <cell r="F61">
            <v>47832</v>
          </cell>
          <cell r="G61">
            <v>6.4758665255565352E-3</v>
          </cell>
          <cell r="H61">
            <v>48664</v>
          </cell>
          <cell r="I61">
            <v>6.3600343512951853E-3</v>
          </cell>
          <cell r="K61">
            <v>46592</v>
          </cell>
          <cell r="L61">
            <v>47875</v>
          </cell>
        </row>
        <row r="62">
          <cell r="B62" t="str">
            <v>Concordia University</v>
          </cell>
          <cell r="C62">
            <v>5</v>
          </cell>
          <cell r="D62">
            <v>50810</v>
          </cell>
          <cell r="E62">
            <v>6.7746982903043309E-3</v>
          </cell>
          <cell r="F62">
            <v>53099</v>
          </cell>
          <cell r="G62">
            <v>7.1889537681996667E-3</v>
          </cell>
          <cell r="H62">
            <v>55999</v>
          </cell>
          <cell r="I62">
            <v>7.3186660290600666E-3</v>
          </cell>
          <cell r="K62">
            <v>49909</v>
          </cell>
          <cell r="L62">
            <v>53303</v>
          </cell>
        </row>
        <row r="63">
          <cell r="B63" t="str">
            <v>Université de Sherbrooke</v>
          </cell>
          <cell r="C63">
            <v>5</v>
          </cell>
          <cell r="D63">
            <v>129198</v>
          </cell>
          <cell r="E63">
            <v>1.8753332491492629E-2</v>
          </cell>
          <cell r="F63">
            <v>132455</v>
          </cell>
          <cell r="G63">
            <v>1.7932783505657111E-2</v>
          </cell>
          <cell r="H63">
            <v>160248</v>
          </cell>
          <cell r="I63">
            <v>2.0943259590793007E-2</v>
          </cell>
          <cell r="K63">
            <v>129494</v>
          </cell>
          <cell r="L63">
            <v>140634</v>
          </cell>
        </row>
        <row r="64">
          <cell r="B64" t="str">
            <v>Université du Québec à Montréal</v>
          </cell>
          <cell r="C64">
            <v>6</v>
          </cell>
          <cell r="D64">
            <v>63935</v>
          </cell>
          <cell r="E64">
            <v>9.8736381328998341E-3</v>
          </cell>
          <cell r="F64">
            <v>67790</v>
          </cell>
          <cell r="G64">
            <v>9.1779351013438187E-3</v>
          </cell>
          <cell r="H64">
            <v>70947</v>
          </cell>
          <cell r="I64">
            <v>9.2722619826019134E-3</v>
          </cell>
          <cell r="K64">
            <v>66167</v>
          </cell>
          <cell r="L64">
            <v>67557</v>
          </cell>
        </row>
        <row r="65">
          <cell r="B65" t="str">
            <v>Dalhousie University</v>
          </cell>
          <cell r="C65">
            <v>5</v>
          </cell>
          <cell r="D65">
            <v>135740</v>
          </cell>
          <cell r="E65">
            <v>2.0958876278693434E-2</v>
          </cell>
          <cell r="F65">
            <v>149919</v>
          </cell>
          <cell r="G65">
            <v>2.0297195050278268E-2</v>
          </cell>
          <cell r="H65">
            <v>141173</v>
          </cell>
          <cell r="I65">
            <v>1.8450294457409897E-2</v>
          </cell>
          <cell r="K65">
            <v>142468</v>
          </cell>
          <cell r="L65">
            <v>142277</v>
          </cell>
        </row>
        <row r="66">
          <cell r="B66" t="str">
            <v>Queen's University</v>
          </cell>
          <cell r="C66">
            <v>6</v>
          </cell>
          <cell r="D66">
            <v>151808</v>
          </cell>
          <cell r="E66">
            <v>2.7700600831766217E-2</v>
          </cell>
          <cell r="F66">
            <v>207034</v>
          </cell>
          <cell r="G66">
            <v>2.8029865994565806E-2</v>
          </cell>
          <cell r="H66">
            <v>175929</v>
          </cell>
          <cell r="I66">
            <v>2.2992653365712039E-2</v>
          </cell>
          <cell r="K66">
            <v>182060</v>
          </cell>
          <cell r="L66">
            <v>178257</v>
          </cell>
        </row>
        <row r="67">
          <cell r="B67" t="str">
            <v>University of Guelph</v>
          </cell>
          <cell r="C67">
            <v>6</v>
          </cell>
          <cell r="D67">
            <v>148911</v>
          </cell>
          <cell r="E67">
            <v>2.1230502984049288E-2</v>
          </cell>
          <cell r="F67">
            <v>140294</v>
          </cell>
          <cell r="G67">
            <v>1.8994088023424244E-2</v>
          </cell>
          <cell r="H67">
            <v>149829</v>
          </cell>
          <cell r="I67">
            <v>1.958157132213148E-2</v>
          </cell>
          <cell r="K67">
            <v>144262</v>
          </cell>
          <cell r="L67">
            <v>146345</v>
          </cell>
        </row>
        <row r="68">
          <cell r="B68" t="str">
            <v>University of Saskatchewan</v>
          </cell>
          <cell r="C68">
            <v>5</v>
          </cell>
          <cell r="D68">
            <v>215928</v>
          </cell>
          <cell r="E68">
            <v>2.498122862806482E-2</v>
          </cell>
          <cell r="F68">
            <v>186261</v>
          </cell>
          <cell r="G68">
            <v>2.5217456408192961E-2</v>
          </cell>
          <cell r="H68">
            <v>175057</v>
          </cell>
          <cell r="I68">
            <v>2.287868924532881E-2</v>
          </cell>
          <cell r="K68">
            <v>190379</v>
          </cell>
          <cell r="L68">
            <v>192415</v>
          </cell>
        </row>
        <row r="69">
          <cell r="B69" t="str">
            <v>University of Waterloo</v>
          </cell>
          <cell r="C69">
            <v>6</v>
          </cell>
          <cell r="D69">
            <v>166440</v>
          </cell>
          <cell r="E69">
            <v>2.675293858101736E-2</v>
          </cell>
          <cell r="F69">
            <v>189333</v>
          </cell>
          <cell r="G69">
            <v>2.563336755484185E-2</v>
          </cell>
          <cell r="H69">
            <v>212649</v>
          </cell>
          <cell r="I69">
            <v>2.7791692930473653E-2</v>
          </cell>
          <cell r="K69">
            <v>178901</v>
          </cell>
          <cell r="L69">
            <v>189474</v>
          </cell>
        </row>
        <row r="70">
          <cell r="B70" t="str">
            <v>University of Manitoba</v>
          </cell>
          <cell r="C70">
            <v>6</v>
          </cell>
          <cell r="D70">
            <v>190588</v>
          </cell>
          <cell r="E70">
            <v>2.4021441505329474E-2</v>
          </cell>
          <cell r="F70">
            <v>186846</v>
          </cell>
          <cell r="G70">
            <v>2.5296658237877075E-2</v>
          </cell>
          <cell r="H70">
            <v>212295</v>
          </cell>
          <cell r="I70">
            <v>2.7745427679767617E-2</v>
          </cell>
          <cell r="K70">
            <v>179963</v>
          </cell>
          <cell r="L70">
            <v>196576</v>
          </cell>
        </row>
        <row r="71">
          <cell r="B71" t="str">
            <v>York University</v>
          </cell>
          <cell r="C71">
            <v>6</v>
          </cell>
          <cell r="D71">
            <v>66566</v>
          </cell>
          <cell r="E71">
            <v>1.0403435892992386E-2</v>
          </cell>
          <cell r="F71">
            <v>96030</v>
          </cell>
          <cell r="G71">
            <v>1.3001284965069285E-2</v>
          </cell>
          <cell r="H71">
            <v>105168</v>
          </cell>
          <cell r="I71">
            <v>1.3744700243650584E-2</v>
          </cell>
          <cell r="K71">
            <v>77651</v>
          </cell>
          <cell r="L71">
            <v>89255</v>
          </cell>
        </row>
        <row r="72">
          <cell r="B72" t="str">
            <v>Western University</v>
          </cell>
          <cell r="C72">
            <v>7</v>
          </cell>
          <cell r="D72">
            <v>234736</v>
          </cell>
          <cell r="E72">
            <v>3.3982319570815017E-2</v>
          </cell>
          <cell r="F72">
            <v>249669</v>
          </cell>
          <cell r="G72">
            <v>3.3802122419492694E-2</v>
          </cell>
          <cell r="H72">
            <v>260740</v>
          </cell>
          <cell r="I72">
            <v>3.4076840308168391E-2</v>
          </cell>
          <cell r="K72">
            <v>238075</v>
          </cell>
          <cell r="L72">
            <v>248382</v>
          </cell>
        </row>
        <row r="73">
          <cell r="B73" t="str">
            <v>McMaster University</v>
          </cell>
          <cell r="C73">
            <v>7</v>
          </cell>
          <cell r="D73">
            <v>354619</v>
          </cell>
          <cell r="E73">
            <v>4.8000298094413717E-2</v>
          </cell>
          <cell r="F73">
            <v>379959</v>
          </cell>
          <cell r="G73">
            <v>5.1441791461447055E-2</v>
          </cell>
          <cell r="H73">
            <v>391573</v>
          </cell>
          <cell r="I73">
            <v>5.1175771228006525E-2</v>
          </cell>
          <cell r="K73">
            <v>353067</v>
          </cell>
          <cell r="L73">
            <v>375384</v>
          </cell>
        </row>
        <row r="74">
          <cell r="B74" t="str">
            <v>University of Ottawa</v>
          </cell>
          <cell r="C74">
            <v>7</v>
          </cell>
          <cell r="D74">
            <v>325969</v>
          </cell>
          <cell r="E74">
            <v>4.3503892823229126E-2</v>
          </cell>
          <cell r="F74">
            <v>324581</v>
          </cell>
          <cell r="G74">
            <v>4.3944289026836968E-2</v>
          </cell>
          <cell r="H74">
            <v>314609</v>
          </cell>
          <cell r="I74">
            <v>4.1117130676200618E-2</v>
          </cell>
          <cell r="K74">
            <v>314922</v>
          </cell>
          <cell r="L74">
            <v>321720</v>
          </cell>
        </row>
        <row r="75">
          <cell r="B75" t="str">
            <v>University of Calgary</v>
          </cell>
          <cell r="C75">
            <v>7</v>
          </cell>
          <cell r="D75">
            <v>360480</v>
          </cell>
          <cell r="E75">
            <v>5.2979480280670087E-2</v>
          </cell>
          <cell r="F75">
            <v>380388</v>
          </cell>
          <cell r="G75">
            <v>5.1499872803215406E-2</v>
          </cell>
          <cell r="H75">
            <v>421761</v>
          </cell>
          <cell r="I75">
            <v>5.5121125432282765E-2</v>
          </cell>
          <cell r="K75">
            <v>366389</v>
          </cell>
          <cell r="L75">
            <v>387543</v>
          </cell>
        </row>
        <row r="76">
          <cell r="B76" t="str">
            <v>Université Laval</v>
          </cell>
          <cell r="C76">
            <v>7</v>
          </cell>
          <cell r="D76">
            <v>376940</v>
          </cell>
          <cell r="E76">
            <v>4.9060189343183853E-2</v>
          </cell>
          <cell r="F76">
            <v>356675</v>
          </cell>
          <cell r="G76">
            <v>4.828942325227624E-2</v>
          </cell>
          <cell r="H76">
            <v>403841</v>
          </cell>
          <cell r="I76">
            <v>5.2779110481287993E-2</v>
          </cell>
          <cell r="K76">
            <v>355136</v>
          </cell>
          <cell r="L76">
            <v>379152</v>
          </cell>
        </row>
        <row r="77">
          <cell r="B77" t="str">
            <v>Université de Montréal</v>
          </cell>
          <cell r="C77">
            <v>8</v>
          </cell>
          <cell r="D77">
            <v>432554</v>
          </cell>
          <cell r="E77">
            <v>6.5889068067552695E-2</v>
          </cell>
          <cell r="F77">
            <v>446096</v>
          </cell>
          <cell r="G77">
            <v>6.0395930623529603E-2</v>
          </cell>
          <cell r="H77">
            <v>460137</v>
          </cell>
          <cell r="I77">
            <v>6.0136592271533632E-2</v>
          </cell>
          <cell r="K77">
            <v>441418</v>
          </cell>
          <cell r="L77">
            <v>446262</v>
          </cell>
        </row>
        <row r="78">
          <cell r="B78" t="str">
            <v>McGill University</v>
          </cell>
          <cell r="C78">
            <v>8</v>
          </cell>
          <cell r="D78">
            <v>547458</v>
          </cell>
          <cell r="E78">
            <v>6.9955631840387E-2</v>
          </cell>
          <cell r="F78">
            <v>515302</v>
          </cell>
          <cell r="G78">
            <v>6.9765574769031891E-2</v>
          </cell>
          <cell r="H78">
            <v>566598</v>
          </cell>
          <cell r="I78">
            <v>7.4050278303779984E-2</v>
          </cell>
          <cell r="K78">
            <v>511956</v>
          </cell>
          <cell r="L78">
            <v>543119</v>
          </cell>
        </row>
        <row r="79">
          <cell r="B79" t="str">
            <v>University of Alberta</v>
          </cell>
          <cell r="C79">
            <v>8</v>
          </cell>
          <cell r="D79">
            <v>433663</v>
          </cell>
          <cell r="E79">
            <v>6.9598243845370625E-2</v>
          </cell>
          <cell r="F79">
            <v>513313</v>
          </cell>
          <cell r="G79">
            <v>6.9496288548105911E-2</v>
          </cell>
          <cell r="H79">
            <v>493824</v>
          </cell>
          <cell r="I79">
            <v>6.4539240578127433E-2</v>
          </cell>
          <cell r="K79">
            <v>472555</v>
          </cell>
          <cell r="L79">
            <v>480267</v>
          </cell>
        </row>
        <row r="80">
          <cell r="B80" t="str">
            <v>University of British Columbia</v>
          </cell>
          <cell r="C80">
            <v>8</v>
          </cell>
          <cell r="D80">
            <v>532143</v>
          </cell>
          <cell r="E80">
            <v>8.0076351206084681E-2</v>
          </cell>
          <cell r="F80">
            <v>577190</v>
          </cell>
          <cell r="G80">
            <v>7.8144451410895974E-2</v>
          </cell>
          <cell r="H80">
            <v>618024</v>
          </cell>
          <cell r="I80">
            <v>8.0771286164821127E-2</v>
          </cell>
          <cell r="K80">
            <v>550295</v>
          </cell>
          <cell r="L80">
            <v>575786</v>
          </cell>
        </row>
        <row r="81">
          <cell r="B81" t="str">
            <v>University of Toronto</v>
          </cell>
          <cell r="C81">
            <v>8</v>
          </cell>
          <cell r="D81">
            <v>1008256</v>
          </cell>
          <cell r="E81">
            <v>0.14764530550093613</v>
          </cell>
          <cell r="F81">
            <v>1147584</v>
          </cell>
          <cell r="G81">
            <v>0.15536880772002573</v>
          </cell>
          <cell r="H81">
            <v>1110812</v>
          </cell>
          <cell r="I81">
            <v>0.14517512900359419</v>
          </cell>
          <cell r="K81">
            <v>1051453</v>
          </cell>
          <cell r="L81">
            <v>1088884</v>
          </cell>
        </row>
      </sheetData>
      <sheetData sheetId="2">
        <row r="3">
          <cell r="A3" t="str">
            <v>Memorial University of Newfoundland</v>
          </cell>
          <cell r="T3">
            <v>16030.095238095239</v>
          </cell>
        </row>
        <row r="4">
          <cell r="A4" t="str">
            <v>University of Prince Edward Island</v>
          </cell>
          <cell r="T4">
            <v>4428.4285714285716</v>
          </cell>
        </row>
        <row r="5">
          <cell r="A5" t="str">
            <v>Acadia University</v>
          </cell>
          <cell r="T5">
            <v>4002.0952380952381</v>
          </cell>
        </row>
        <row r="6">
          <cell r="A6" t="str">
            <v>Université Sainte-Anne</v>
          </cell>
          <cell r="T6">
            <v>465.66666666666669</v>
          </cell>
        </row>
        <row r="7">
          <cell r="A7" t="str">
            <v>Dalhousie University</v>
          </cell>
          <cell r="T7">
            <v>17597.380952380954</v>
          </cell>
        </row>
        <row r="8">
          <cell r="A8" t="str">
            <v>Mount Saint Vincent University</v>
          </cell>
          <cell r="T8">
            <v>2782.4285714285711</v>
          </cell>
        </row>
        <row r="9">
          <cell r="A9" t="str">
            <v>NSCAD University</v>
          </cell>
          <cell r="T9">
            <v>788.33333333333337</v>
          </cell>
        </row>
        <row r="10">
          <cell r="A10" t="str">
            <v>St. Francis Xavier University</v>
          </cell>
          <cell r="T10">
            <v>4283.9047619047624</v>
          </cell>
        </row>
        <row r="11">
          <cell r="A11" t="str">
            <v>Saint Mary's University</v>
          </cell>
          <cell r="T11">
            <v>6356.6190476190486</v>
          </cell>
        </row>
        <row r="12">
          <cell r="A12" t="str">
            <v>Dalhousie University</v>
          </cell>
          <cell r="T12">
            <v>880.19047619047615</v>
          </cell>
        </row>
        <row r="13">
          <cell r="A13" t="str">
            <v>Cape Breton University</v>
          </cell>
          <cell r="T13">
            <v>3867.4761904761908</v>
          </cell>
        </row>
        <row r="14">
          <cell r="A14" t="str">
            <v>Mount Allison University</v>
          </cell>
          <cell r="T14">
            <v>2177.3333333333335</v>
          </cell>
        </row>
        <row r="15">
          <cell r="A15" t="str">
            <v>University of New Brunswick</v>
          </cell>
          <cell r="T15">
            <v>8656.6190476190477</v>
          </cell>
        </row>
        <row r="16">
          <cell r="A16" t="str">
            <v>Université de Moncton</v>
          </cell>
          <cell r="T16">
            <v>4501.6190476190468</v>
          </cell>
        </row>
        <row r="17">
          <cell r="A17" t="str">
            <v>University of New Brunswick</v>
          </cell>
          <cell r="T17">
            <v>1977.8571428571429</v>
          </cell>
        </row>
        <row r="18">
          <cell r="A18" t="str">
            <v>Bishop's University</v>
          </cell>
          <cell r="T18">
            <v>2702.3333333333335</v>
          </cell>
        </row>
        <row r="19">
          <cell r="A19" t="str">
            <v>McGill University</v>
          </cell>
          <cell r="T19">
            <v>33425.28571428571</v>
          </cell>
        </row>
        <row r="20">
          <cell r="A20" t="str">
            <v>Université de Montréal</v>
          </cell>
          <cell r="T20">
            <v>39451.571428571428</v>
          </cell>
        </row>
        <row r="21">
          <cell r="A21" t="str">
            <v>École Polytechnique de Montréal</v>
          </cell>
          <cell r="T21">
            <v>7321.7142857142862</v>
          </cell>
        </row>
        <row r="22">
          <cell r="A22" t="str">
            <v>HEC Montréal</v>
          </cell>
          <cell r="T22">
            <v>8959.9047619047615</v>
          </cell>
        </row>
        <row r="23">
          <cell r="A23" t="str">
            <v>Télé-université du Québec</v>
          </cell>
          <cell r="T23">
            <v>1530.7142857142858</v>
          </cell>
        </row>
        <row r="24">
          <cell r="A24" t="str">
            <v>Université du Québec à Chicoutimi</v>
          </cell>
          <cell r="T24">
            <v>5171.8571428571431</v>
          </cell>
        </row>
        <row r="25">
          <cell r="A25" t="str">
            <v>Université du Québec à Montréal</v>
          </cell>
          <cell r="T25">
            <v>28461.619047619042</v>
          </cell>
        </row>
        <row r="26">
          <cell r="A26" t="str">
            <v>Université du Québec en Abitibi-Témiscamingue</v>
          </cell>
          <cell r="T26">
            <v>2248.5714285714289</v>
          </cell>
        </row>
        <row r="27">
          <cell r="A27" t="str">
            <v>Université du Québec à Trois-Rivières</v>
          </cell>
          <cell r="T27">
            <v>10336.238095238097</v>
          </cell>
        </row>
        <row r="28">
          <cell r="A28" t="str">
            <v>Université du Québec en Outaouais</v>
          </cell>
          <cell r="T28">
            <v>5180.8571428571431</v>
          </cell>
        </row>
        <row r="29">
          <cell r="A29" t="str">
            <v>École nationale d'administration publique</v>
          </cell>
          <cell r="T29">
            <v>708.95238095238085</v>
          </cell>
        </row>
        <row r="30">
          <cell r="A30" t="str">
            <v>Institut national de la recherche scientifique</v>
          </cell>
          <cell r="T30">
            <v>589.2380952380953</v>
          </cell>
        </row>
        <row r="31">
          <cell r="A31" t="str">
            <v>Université du Québec à Rimouski</v>
          </cell>
          <cell r="T31">
            <v>4271.9047619047624</v>
          </cell>
        </row>
        <row r="32">
          <cell r="A32" t="str">
            <v>École de technologie supérieure</v>
          </cell>
          <cell r="T32">
            <v>7064.8095238095239</v>
          </cell>
        </row>
        <row r="33">
          <cell r="A33" t="str">
            <v>Université Laval</v>
          </cell>
          <cell r="T33">
            <v>34486.952380952389</v>
          </cell>
        </row>
        <row r="34">
          <cell r="A34" t="str">
            <v>Université de Sherbrooke</v>
          </cell>
          <cell r="T34">
            <v>19162</v>
          </cell>
        </row>
        <row r="35">
          <cell r="A35" t="str">
            <v>Concordia University</v>
          </cell>
          <cell r="T35">
            <v>31213.238095238095</v>
          </cell>
        </row>
        <row r="36">
          <cell r="A36" t="str">
            <v>Algoma University</v>
          </cell>
          <cell r="T36">
            <v>1116.1904761904761</v>
          </cell>
        </row>
        <row r="37">
          <cell r="A37" t="str">
            <v>Brock University</v>
          </cell>
          <cell r="T37">
            <v>17358.095238095237</v>
          </cell>
        </row>
        <row r="38">
          <cell r="A38" t="str">
            <v>Carleton University</v>
          </cell>
          <cell r="T38">
            <v>27236.190476190473</v>
          </cell>
        </row>
        <row r="39">
          <cell r="A39" t="str">
            <v>University of Guelph</v>
          </cell>
          <cell r="T39">
            <v>27794.285714285714</v>
          </cell>
        </row>
        <row r="40">
          <cell r="A40" t="str">
            <v>Lakehead University</v>
          </cell>
          <cell r="T40">
            <v>7633.333333333333</v>
          </cell>
        </row>
        <row r="41">
          <cell r="A41" t="str">
            <v>Laurentian University</v>
          </cell>
          <cell r="T41">
            <v>7562.3809523809532</v>
          </cell>
        </row>
        <row r="42">
          <cell r="A42" t="str">
            <v>McMaster University</v>
          </cell>
          <cell r="T42">
            <v>32485.71428571429</v>
          </cell>
        </row>
        <row r="43">
          <cell r="A43" t="str">
            <v>OCAD University</v>
          </cell>
          <cell r="T43">
            <v>3795.2380952380954</v>
          </cell>
        </row>
        <row r="44">
          <cell r="A44" t="str">
            <v>University of Ottawa</v>
          </cell>
          <cell r="T44">
            <v>39038.095238095237</v>
          </cell>
        </row>
        <row r="45">
          <cell r="A45" t="str">
            <v>University of Ottawa</v>
          </cell>
          <cell r="T45">
            <v>393.80952380952385</v>
          </cell>
        </row>
        <row r="46">
          <cell r="A46" t="str">
            <v>Queen's University</v>
          </cell>
          <cell r="T46">
            <v>26716.190476190473</v>
          </cell>
        </row>
        <row r="47">
          <cell r="A47" t="str">
            <v>University of Toronto</v>
          </cell>
          <cell r="T47">
            <v>85437.142857142855</v>
          </cell>
        </row>
        <row r="48">
          <cell r="A48" t="str">
            <v>University of Toronto</v>
          </cell>
          <cell r="T48">
            <v>3583.9523809523812</v>
          </cell>
        </row>
        <row r="49">
          <cell r="A49" t="str">
            <v>University of Toronto</v>
          </cell>
          <cell r="T49">
            <v>1204.2857142857144</v>
          </cell>
        </row>
        <row r="50">
          <cell r="A50" t="str">
            <v>Trent University</v>
          </cell>
          <cell r="T50">
            <v>9299.0476190476184</v>
          </cell>
        </row>
        <row r="51">
          <cell r="A51" t="str">
            <v>University of Waterloo</v>
          </cell>
          <cell r="T51">
            <v>38023.809523809519</v>
          </cell>
        </row>
        <row r="52">
          <cell r="A52" t="str">
            <v>University of Waterloo</v>
          </cell>
          <cell r="T52">
            <v>182.85714285714286</v>
          </cell>
        </row>
        <row r="53">
          <cell r="A53" t="str">
            <v>Western University</v>
          </cell>
          <cell r="T53">
            <v>30735.238095238095</v>
          </cell>
        </row>
        <row r="54">
          <cell r="A54" t="str">
            <v>Western University</v>
          </cell>
          <cell r="T54">
            <v>463.33333333333331</v>
          </cell>
        </row>
        <row r="55">
          <cell r="A55" t="str">
            <v>Western University</v>
          </cell>
          <cell r="T55">
            <v>864</v>
          </cell>
        </row>
        <row r="56">
          <cell r="A56" t="str">
            <v>Western University</v>
          </cell>
          <cell r="T56">
            <v>3317.8571428571427</v>
          </cell>
        </row>
        <row r="57">
          <cell r="A57" t="str">
            <v>University of Windsor</v>
          </cell>
          <cell r="T57">
            <v>14948.571428571428</v>
          </cell>
        </row>
        <row r="58">
          <cell r="A58" t="str">
            <v>York University</v>
          </cell>
          <cell r="T58">
            <v>49476.190476190473</v>
          </cell>
        </row>
        <row r="59">
          <cell r="A59" t="str">
            <v>Wilfrid Laurier University</v>
          </cell>
          <cell r="T59">
            <v>17619.047619047618</v>
          </cell>
        </row>
        <row r="60">
          <cell r="A60" t="str">
            <v>Ryerson University</v>
          </cell>
          <cell r="T60">
            <v>34582.857142857145</v>
          </cell>
        </row>
        <row r="61">
          <cell r="A61" t="str">
            <v>Nipissing University</v>
          </cell>
          <cell r="T61">
            <v>3989.5238095238092</v>
          </cell>
        </row>
        <row r="62">
          <cell r="A62" t="e">
            <v>#N/A</v>
          </cell>
          <cell r="T62">
            <v>673.95238095238096</v>
          </cell>
        </row>
        <row r="63">
          <cell r="A63" t="str">
            <v>Royal Military College of Canada</v>
          </cell>
          <cell r="T63">
            <v>1045.2380952380952</v>
          </cell>
        </row>
        <row r="64">
          <cell r="A64" t="str">
            <v>University of Ontario Institute of Technology</v>
          </cell>
          <cell r="T64">
            <v>9527.1428571428569</v>
          </cell>
        </row>
        <row r="65">
          <cell r="A65" t="str">
            <v>Brandon University</v>
          </cell>
          <cell r="T65">
            <v>2962.7142857142858</v>
          </cell>
        </row>
        <row r="66">
          <cell r="A66" t="str">
            <v>University of Manitoba</v>
          </cell>
          <cell r="T66">
            <v>26156.476190476194</v>
          </cell>
        </row>
        <row r="67">
          <cell r="A67" t="str">
            <v>University of Manitoba</v>
          </cell>
          <cell r="T67">
            <v>829.09523809523807</v>
          </cell>
        </row>
        <row r="68">
          <cell r="A68" t="str">
            <v>University of Winnipeg</v>
          </cell>
          <cell r="T68">
            <v>8033.9523809523807</v>
          </cell>
        </row>
        <row r="69">
          <cell r="A69" t="str">
            <v>University of Saskatchewan</v>
          </cell>
          <cell r="T69">
            <v>20253.523809523806</v>
          </cell>
        </row>
        <row r="70">
          <cell r="A70" t="str">
            <v>University of Regina</v>
          </cell>
          <cell r="T70">
            <v>11200.809523809525</v>
          </cell>
        </row>
        <row r="71">
          <cell r="A71" t="str">
            <v>University of Regina</v>
          </cell>
          <cell r="T71">
            <v>693.71428571428578</v>
          </cell>
        </row>
        <row r="72">
          <cell r="A72" t="str">
            <v>University of Regina</v>
          </cell>
          <cell r="T72">
            <v>607.95238095238096</v>
          </cell>
        </row>
        <row r="73">
          <cell r="A73" t="str">
            <v>University of Alberta</v>
          </cell>
          <cell r="T73">
            <v>37005.523809523809</v>
          </cell>
        </row>
        <row r="74">
          <cell r="A74" t="str">
            <v>University of Calgary</v>
          </cell>
          <cell r="T74">
            <v>32248.904761904763</v>
          </cell>
        </row>
        <row r="75">
          <cell r="A75" t="str">
            <v>University of Lethbridge</v>
          </cell>
          <cell r="T75">
            <v>8213.4285714285706</v>
          </cell>
        </row>
        <row r="76">
          <cell r="A76" t="str">
            <v>The King's University</v>
          </cell>
          <cell r="T76">
            <v>804.7619047619047</v>
          </cell>
        </row>
        <row r="77">
          <cell r="A77" t="str">
            <v>Concordia University of Edmonton</v>
          </cell>
          <cell r="T77">
            <v>2279.1428571428573</v>
          </cell>
        </row>
        <row r="78">
          <cell r="A78" t="str">
            <v>Athabasca University</v>
          </cell>
          <cell r="T78">
            <v>12490.952380952382</v>
          </cell>
        </row>
        <row r="79">
          <cell r="A79" t="str">
            <v>Mount Royal University</v>
          </cell>
          <cell r="T79">
            <v>10075.285714285716</v>
          </cell>
        </row>
        <row r="80">
          <cell r="A80" t="str">
            <v>MacEwan University</v>
          </cell>
          <cell r="T80">
            <v>13326.523809523811</v>
          </cell>
        </row>
        <row r="81">
          <cell r="A81" t="str">
            <v>University of British Columbia</v>
          </cell>
          <cell r="T81">
            <v>50804.714285714283</v>
          </cell>
        </row>
        <row r="82">
          <cell r="A82" t="str">
            <v>Simon Fraser University</v>
          </cell>
          <cell r="T82">
            <v>20688.476190476187</v>
          </cell>
        </row>
        <row r="83">
          <cell r="A83" t="str">
            <v>University of Victoria</v>
          </cell>
          <cell r="T83">
            <v>18675.61904761905</v>
          </cell>
        </row>
        <row r="84">
          <cell r="A84" t="str">
            <v>Trinity Western University</v>
          </cell>
          <cell r="T84">
            <v>3447.7619047619046</v>
          </cell>
        </row>
        <row r="85">
          <cell r="A85" t="str">
            <v>University of Northern British Columbia</v>
          </cell>
          <cell r="T85">
            <v>2701.0952380952381</v>
          </cell>
        </row>
        <row r="86">
          <cell r="A86" t="str">
            <v>University of the Fraser Valley</v>
          </cell>
          <cell r="T86">
            <v>7355.9523809523816</v>
          </cell>
        </row>
        <row r="87">
          <cell r="A87" t="str">
            <v>Vancouver Island University</v>
          </cell>
          <cell r="T87">
            <v>6688.7142857142853</v>
          </cell>
        </row>
        <row r="88">
          <cell r="A88" t="str">
            <v>Royal Roads University</v>
          </cell>
          <cell r="T88">
            <v>4065.3333333333335</v>
          </cell>
        </row>
        <row r="89">
          <cell r="A89" t="str">
            <v>Thompson Rivers University</v>
          </cell>
          <cell r="T89">
            <v>8356.6666666666661</v>
          </cell>
        </row>
        <row r="90">
          <cell r="A90" t="str">
            <v>Kwantlen Polytechnic University</v>
          </cell>
          <cell r="T90">
            <v>11693.142857142857</v>
          </cell>
        </row>
      </sheetData>
      <sheetData sheetId="3">
        <row r="7">
          <cell r="B7" t="str">
            <v>Université Sainte-Anne</v>
          </cell>
          <cell r="C7">
            <v>1</v>
          </cell>
          <cell r="D7">
            <v>40</v>
          </cell>
          <cell r="E7">
            <v>9.0871916034349586E-4</v>
          </cell>
          <cell r="F7">
            <v>41</v>
          </cell>
          <cell r="G7">
            <v>9.2132761061549176E-4</v>
          </cell>
          <cell r="H7">
            <v>42</v>
          </cell>
          <cell r="I7">
            <v>9.3848457086675757E-4</v>
          </cell>
          <cell r="J7">
            <v>40</v>
          </cell>
          <cell r="K7">
            <v>41</v>
          </cell>
        </row>
        <row r="8">
          <cell r="B8" t="str">
            <v>Algoma University</v>
          </cell>
          <cell r="C8">
            <v>2</v>
          </cell>
          <cell r="D8">
            <v>43</v>
          </cell>
          <cell r="E8">
            <v>9.7687309736925812E-4</v>
          </cell>
          <cell r="F8">
            <v>44</v>
          </cell>
          <cell r="G8">
            <v>9.8874182602638142E-4</v>
          </cell>
          <cell r="H8">
            <v>45</v>
          </cell>
          <cell r="I8">
            <v>1.0055191830715259E-3</v>
          </cell>
          <cell r="J8">
            <v>43</v>
          </cell>
          <cell r="K8">
            <v>44</v>
          </cell>
        </row>
        <row r="9">
          <cell r="B9" t="str">
            <v>École nationale d'administration publique</v>
          </cell>
          <cell r="C9">
            <v>3</v>
          </cell>
          <cell r="D9">
            <v>43</v>
          </cell>
          <cell r="E9">
            <v>9.7687309736925812E-4</v>
          </cell>
          <cell r="F9">
            <v>44</v>
          </cell>
          <cell r="G9">
            <v>9.8874182602638142E-4</v>
          </cell>
          <cell r="H9">
            <v>45</v>
          </cell>
          <cell r="I9">
            <v>1.0055191830715259E-3</v>
          </cell>
          <cell r="J9">
            <v>43</v>
          </cell>
          <cell r="K9">
            <v>44</v>
          </cell>
        </row>
        <row r="10">
          <cell r="B10" t="str">
            <v>NSCAD University</v>
          </cell>
          <cell r="C10">
            <v>2</v>
          </cell>
          <cell r="D10">
            <v>46</v>
          </cell>
          <cell r="E10">
            <v>1.0450270343950203E-3</v>
          </cell>
          <cell r="F10">
            <v>47</v>
          </cell>
          <cell r="G10">
            <v>1.0561560414372711E-3</v>
          </cell>
          <cell r="H10">
            <v>48</v>
          </cell>
          <cell r="I10">
            <v>1.0725537952762944E-3</v>
          </cell>
          <cell r="J10">
            <v>46</v>
          </cell>
          <cell r="K10">
            <v>47</v>
          </cell>
        </row>
        <row r="11">
          <cell r="B11" t="str">
            <v>The King's University</v>
          </cell>
          <cell r="C11">
            <v>2</v>
          </cell>
          <cell r="D11">
            <v>46</v>
          </cell>
          <cell r="E11">
            <v>1.0450270343950203E-3</v>
          </cell>
          <cell r="F11">
            <v>47</v>
          </cell>
          <cell r="G11">
            <v>1.0561560414372711E-3</v>
          </cell>
          <cell r="H11">
            <v>48</v>
          </cell>
          <cell r="I11">
            <v>1.0725537952762944E-3</v>
          </cell>
          <cell r="J11">
            <v>46</v>
          </cell>
          <cell r="K11">
            <v>47</v>
          </cell>
        </row>
        <row r="12">
          <cell r="B12" t="str">
            <v>Royal Roads University</v>
          </cell>
          <cell r="C12">
            <v>4</v>
          </cell>
          <cell r="D12">
            <v>52</v>
          </cell>
          <cell r="E12">
            <v>1.1813349084465446E-3</v>
          </cell>
          <cell r="F12">
            <v>53</v>
          </cell>
          <cell r="G12">
            <v>1.1909844722590504E-3</v>
          </cell>
          <cell r="H12">
            <v>54</v>
          </cell>
          <cell r="I12">
            <v>1.2066230196858311E-3</v>
          </cell>
          <cell r="J12">
            <v>52</v>
          </cell>
          <cell r="K12">
            <v>53</v>
          </cell>
        </row>
        <row r="13">
          <cell r="B13" t="str">
            <v>Concordia University of Edmonton</v>
          </cell>
          <cell r="C13">
            <v>2</v>
          </cell>
          <cell r="D13">
            <v>59</v>
          </cell>
          <cell r="E13">
            <v>1.3403607615066564E-3</v>
          </cell>
          <cell r="F13">
            <v>61</v>
          </cell>
          <cell r="G13">
            <v>1.3707557133547561E-3</v>
          </cell>
          <cell r="H13">
            <v>63</v>
          </cell>
          <cell r="I13">
            <v>1.4077268563001363E-3</v>
          </cell>
          <cell r="J13">
            <v>59</v>
          </cell>
          <cell r="K13">
            <v>61</v>
          </cell>
        </row>
        <row r="14">
          <cell r="B14" t="str">
            <v>Télé-université du Québec</v>
          </cell>
          <cell r="C14">
            <v>4</v>
          </cell>
          <cell r="D14">
            <v>71</v>
          </cell>
          <cell r="E14">
            <v>1.612976509609705E-3</v>
          </cell>
          <cell r="F14">
            <v>73</v>
          </cell>
          <cell r="G14">
            <v>1.6404125749983148E-3</v>
          </cell>
          <cell r="H14">
            <v>75</v>
          </cell>
          <cell r="I14">
            <v>1.67586530511921E-3</v>
          </cell>
          <cell r="J14">
            <v>71</v>
          </cell>
          <cell r="K14">
            <v>73</v>
          </cell>
        </row>
        <row r="15">
          <cell r="B15" t="str">
            <v>Trinity Western University</v>
          </cell>
          <cell r="C15">
            <v>4</v>
          </cell>
          <cell r="D15">
            <v>103</v>
          </cell>
          <cell r="E15">
            <v>2.3399518378845016E-3</v>
          </cell>
          <cell r="F15">
            <v>106</v>
          </cell>
          <cell r="G15">
            <v>2.3819689445181008E-3</v>
          </cell>
          <cell r="H15">
            <v>109</v>
          </cell>
          <cell r="I15">
            <v>2.4355909101065852E-3</v>
          </cell>
          <cell r="J15">
            <v>103</v>
          </cell>
          <cell r="K15">
            <v>106</v>
          </cell>
        </row>
        <row r="16">
          <cell r="B16" t="str">
            <v>Université du Québec en Abitibi-Témiscamingue</v>
          </cell>
          <cell r="C16">
            <v>5</v>
          </cell>
          <cell r="D16">
            <v>114</v>
          </cell>
          <cell r="E16">
            <v>2.5898496069789632E-3</v>
          </cell>
          <cell r="F16">
            <v>114</v>
          </cell>
          <cell r="G16">
            <v>2.5617401856138063E-3</v>
          </cell>
          <cell r="H16">
            <v>114</v>
          </cell>
          <cell r="I16">
            <v>2.5473152637811992E-3</v>
          </cell>
          <cell r="J16">
            <v>109</v>
          </cell>
          <cell r="K16">
            <v>114</v>
          </cell>
        </row>
        <row r="17">
          <cell r="B17" t="str">
            <v>Bishop's University</v>
          </cell>
          <cell r="C17">
            <v>4</v>
          </cell>
          <cell r="D17">
            <v>115</v>
          </cell>
          <cell r="E17">
            <v>2.6125675859875507E-3</v>
          </cell>
          <cell r="F17">
            <v>114</v>
          </cell>
          <cell r="G17">
            <v>2.5617401856138063E-3</v>
          </cell>
          <cell r="H17">
            <v>108</v>
          </cell>
          <cell r="I17">
            <v>2.4132460393716621E-3</v>
          </cell>
          <cell r="J17">
            <v>113.66666666666667</v>
          </cell>
          <cell r="K17">
            <v>112.33333333333333</v>
          </cell>
        </row>
        <row r="18">
          <cell r="B18" t="str">
            <v>Mount Saint Vincent University</v>
          </cell>
          <cell r="C18">
            <v>5</v>
          </cell>
          <cell r="D18">
            <v>126</v>
          </cell>
          <cell r="E18">
            <v>2.8624653550820118E-3</v>
          </cell>
          <cell r="F18">
            <v>126</v>
          </cell>
          <cell r="G18">
            <v>2.8313970472573649E-3</v>
          </cell>
          <cell r="H18">
            <v>129</v>
          </cell>
          <cell r="I18">
            <v>2.8824883248050408E-3</v>
          </cell>
          <cell r="J18">
            <v>121.33333333333333</v>
          </cell>
          <cell r="K18">
            <v>127</v>
          </cell>
        </row>
        <row r="19">
          <cell r="B19" t="str">
            <v>Mount Allison University</v>
          </cell>
          <cell r="C19">
            <v>5</v>
          </cell>
          <cell r="D19">
            <v>132</v>
          </cell>
          <cell r="E19">
            <v>2.9987732291335361E-3</v>
          </cell>
          <cell r="F19">
            <v>138</v>
          </cell>
          <cell r="G19">
            <v>3.1010539089009236E-3</v>
          </cell>
          <cell r="H19">
            <v>129</v>
          </cell>
          <cell r="I19">
            <v>2.8824883248050408E-3</v>
          </cell>
          <cell r="J19">
            <v>137.66666666666666</v>
          </cell>
          <cell r="K19">
            <v>133</v>
          </cell>
        </row>
        <row r="20">
          <cell r="B20" t="str">
            <v>Cape Breton University</v>
          </cell>
          <cell r="C20">
            <v>5</v>
          </cell>
          <cell r="D20">
            <v>150</v>
          </cell>
          <cell r="E20">
            <v>3.4076968512881094E-3</v>
          </cell>
          <cell r="F20">
            <v>150</v>
          </cell>
          <cell r="G20">
            <v>3.3707107705444822E-3</v>
          </cell>
          <cell r="H20">
            <v>147</v>
          </cell>
          <cell r="I20">
            <v>3.2846959980336512E-3</v>
          </cell>
          <cell r="J20">
            <v>141</v>
          </cell>
          <cell r="K20">
            <v>149</v>
          </cell>
        </row>
        <row r="21">
          <cell r="B21" t="str">
            <v>Institut national de la recherche scientifique</v>
          </cell>
          <cell r="C21">
            <v>5</v>
          </cell>
          <cell r="D21">
            <v>153</v>
          </cell>
          <cell r="E21">
            <v>3.4758507883138716E-3</v>
          </cell>
          <cell r="F21">
            <v>147</v>
          </cell>
          <cell r="G21">
            <v>3.3032965551335926E-3</v>
          </cell>
          <cell r="H21">
            <v>150</v>
          </cell>
          <cell r="I21">
            <v>3.3517306102384199E-3</v>
          </cell>
          <cell r="J21">
            <v>140.33333333333334</v>
          </cell>
          <cell r="K21">
            <v>150</v>
          </cell>
        </row>
        <row r="22">
          <cell r="B22" t="str">
            <v>OCAD University</v>
          </cell>
          <cell r="C22">
            <v>5</v>
          </cell>
          <cell r="D22">
            <v>162</v>
          </cell>
          <cell r="E22">
            <v>3.6803125993911581E-3</v>
          </cell>
          <cell r="F22">
            <v>156</v>
          </cell>
          <cell r="G22">
            <v>3.5055392013662616E-3</v>
          </cell>
          <cell r="H22">
            <v>165</v>
          </cell>
          <cell r="I22">
            <v>3.6869036712622615E-3</v>
          </cell>
          <cell r="J22">
            <v>141.66666666666666</v>
          </cell>
          <cell r="K22">
            <v>161</v>
          </cell>
        </row>
        <row r="23">
          <cell r="B23" t="str">
            <v>Nipissing University</v>
          </cell>
          <cell r="C23">
            <v>5</v>
          </cell>
          <cell r="D23">
            <v>165</v>
          </cell>
          <cell r="E23">
            <v>3.7484665364169202E-3</v>
          </cell>
          <cell r="F23">
            <v>177</v>
          </cell>
          <cell r="G23">
            <v>3.9774387092424892E-3</v>
          </cell>
          <cell r="H23">
            <v>177</v>
          </cell>
          <cell r="I23">
            <v>3.9550421200813353E-3</v>
          </cell>
          <cell r="J23">
            <v>174.33333333333334</v>
          </cell>
          <cell r="K23">
            <v>173</v>
          </cell>
        </row>
        <row r="24">
          <cell r="B24" t="str">
            <v>Acadia University</v>
          </cell>
          <cell r="C24">
            <v>6</v>
          </cell>
          <cell r="D24">
            <v>174</v>
          </cell>
          <cell r="E24">
            <v>3.9529283474942067E-3</v>
          </cell>
          <cell r="F24">
            <v>192</v>
          </cell>
          <cell r="G24">
            <v>4.3145097862969375E-3</v>
          </cell>
          <cell r="H24">
            <v>207</v>
          </cell>
          <cell r="I24">
            <v>4.6253882421290193E-3</v>
          </cell>
          <cell r="J24">
            <v>191.33333333333334</v>
          </cell>
          <cell r="K24">
            <v>191</v>
          </cell>
        </row>
        <row r="25">
          <cell r="B25" t="str">
            <v>Athabasca University</v>
          </cell>
          <cell r="C25">
            <v>6</v>
          </cell>
          <cell r="D25">
            <v>177</v>
          </cell>
          <cell r="E25">
            <v>4.0210822845199688E-3</v>
          </cell>
          <cell r="F25">
            <v>174</v>
          </cell>
          <cell r="G25">
            <v>3.9100244938315995E-3</v>
          </cell>
          <cell r="H25">
            <v>174</v>
          </cell>
          <cell r="I25">
            <v>3.8880075078765669E-3</v>
          </cell>
          <cell r="J25">
            <v>176</v>
          </cell>
          <cell r="K25">
            <v>175</v>
          </cell>
        </row>
        <row r="26">
          <cell r="B26" t="str">
            <v>Brandon University</v>
          </cell>
          <cell r="C26">
            <v>5</v>
          </cell>
          <cell r="D26">
            <v>180</v>
          </cell>
          <cell r="E26">
            <v>4.089236221545731E-3</v>
          </cell>
          <cell r="F26">
            <v>183</v>
          </cell>
          <cell r="G26">
            <v>4.1122671400642685E-3</v>
          </cell>
          <cell r="H26">
            <v>183</v>
          </cell>
          <cell r="I26">
            <v>4.0891113444908719E-3</v>
          </cell>
          <cell r="J26">
            <v>176</v>
          </cell>
          <cell r="K26">
            <v>182</v>
          </cell>
        </row>
        <row r="27">
          <cell r="B27" t="str">
            <v>University of Northern British Columbia</v>
          </cell>
          <cell r="C27">
            <v>5</v>
          </cell>
          <cell r="D27">
            <v>183</v>
          </cell>
          <cell r="E27">
            <v>4.1573901585714931E-3</v>
          </cell>
          <cell r="F27">
            <v>186</v>
          </cell>
          <cell r="G27">
            <v>4.1796813554751582E-3</v>
          </cell>
          <cell r="H27">
            <v>186</v>
          </cell>
          <cell r="I27">
            <v>4.1561459566956402E-3</v>
          </cell>
          <cell r="J27">
            <v>185.66666666666666</v>
          </cell>
          <cell r="K27">
            <v>185</v>
          </cell>
        </row>
        <row r="28">
          <cell r="B28" t="str">
            <v>Université du Québec à Rimouski</v>
          </cell>
          <cell r="C28">
            <v>6</v>
          </cell>
          <cell r="D28">
            <v>195</v>
          </cell>
          <cell r="E28">
            <v>4.4300059066745426E-3</v>
          </cell>
          <cell r="F28">
            <v>198</v>
          </cell>
          <cell r="G28">
            <v>4.4493382171187168E-3</v>
          </cell>
          <cell r="H28">
            <v>207</v>
          </cell>
          <cell r="I28">
            <v>4.6253882421290193E-3</v>
          </cell>
          <cell r="J28">
            <v>197</v>
          </cell>
          <cell r="K28">
            <v>200</v>
          </cell>
        </row>
        <row r="29">
          <cell r="B29" t="str">
            <v>École de technologie supérieure</v>
          </cell>
          <cell r="C29">
            <v>7</v>
          </cell>
          <cell r="D29">
            <v>201</v>
          </cell>
          <cell r="E29">
            <v>4.5663137807260669E-3</v>
          </cell>
          <cell r="F29">
            <v>210</v>
          </cell>
          <cell r="G29">
            <v>4.7189950787622746E-3</v>
          </cell>
          <cell r="H29">
            <v>219</v>
          </cell>
          <cell r="I29">
            <v>4.8935266909480926E-3</v>
          </cell>
          <cell r="J29">
            <v>190</v>
          </cell>
          <cell r="K29">
            <v>210</v>
          </cell>
        </row>
        <row r="30">
          <cell r="B30" t="str">
            <v>Trent University</v>
          </cell>
          <cell r="C30">
            <v>7</v>
          </cell>
          <cell r="D30">
            <v>201</v>
          </cell>
          <cell r="E30">
            <v>4.5663137807260669E-3</v>
          </cell>
          <cell r="F30">
            <v>270</v>
          </cell>
          <cell r="G30">
            <v>6.0672793869800679E-3</v>
          </cell>
          <cell r="H30">
            <v>276</v>
          </cell>
          <cell r="I30">
            <v>6.1671843228386924E-3</v>
          </cell>
          <cell r="J30">
            <v>233.33333333333334</v>
          </cell>
          <cell r="K30">
            <v>249</v>
          </cell>
        </row>
        <row r="31">
          <cell r="B31" t="str">
            <v>Royal Military College of Canada</v>
          </cell>
          <cell r="C31">
            <v>5</v>
          </cell>
          <cell r="D31">
            <v>200</v>
          </cell>
          <cell r="E31">
            <v>4.543595801717479E-3</v>
          </cell>
          <cell r="F31">
            <v>205</v>
          </cell>
          <cell r="G31">
            <v>4.6066380530774588E-3</v>
          </cell>
          <cell r="H31">
            <v>211</v>
          </cell>
          <cell r="I31">
            <v>4.7147677250687107E-3</v>
          </cell>
          <cell r="J31">
            <v>200</v>
          </cell>
          <cell r="K31">
            <v>205.33333333333334</v>
          </cell>
        </row>
        <row r="32">
          <cell r="B32" t="str">
            <v>St. Francis Xavier University</v>
          </cell>
          <cell r="C32">
            <v>6</v>
          </cell>
          <cell r="D32">
            <v>228</v>
          </cell>
          <cell r="E32">
            <v>5.1796992139579263E-3</v>
          </cell>
          <cell r="F32">
            <v>222</v>
          </cell>
          <cell r="G32">
            <v>4.9886519404058333E-3</v>
          </cell>
          <cell r="H32">
            <v>219</v>
          </cell>
          <cell r="I32">
            <v>4.8935266909480926E-3</v>
          </cell>
          <cell r="J32">
            <v>235.66666666666666</v>
          </cell>
          <cell r="K32">
            <v>223</v>
          </cell>
        </row>
        <row r="33">
          <cell r="B33" t="str">
            <v>University of Prince Edward Island</v>
          </cell>
          <cell r="C33">
            <v>6</v>
          </cell>
          <cell r="D33">
            <v>231</v>
          </cell>
          <cell r="E33">
            <v>5.2478531509836885E-3</v>
          </cell>
          <cell r="F33">
            <v>234</v>
          </cell>
          <cell r="G33">
            <v>5.2583088020493919E-3</v>
          </cell>
          <cell r="H33">
            <v>240</v>
          </cell>
          <cell r="I33">
            <v>5.3627689763814717E-3</v>
          </cell>
          <cell r="J33">
            <v>236.33333333333334</v>
          </cell>
          <cell r="K33">
            <v>235</v>
          </cell>
        </row>
        <row r="34">
          <cell r="B34" t="str">
            <v>Université du Québec à Chicoutimi</v>
          </cell>
          <cell r="C34">
            <v>7</v>
          </cell>
          <cell r="D34">
            <v>237</v>
          </cell>
          <cell r="E34">
            <v>5.3841610250352128E-3</v>
          </cell>
          <cell r="F34">
            <v>240</v>
          </cell>
          <cell r="G34">
            <v>5.3931372328711712E-3</v>
          </cell>
          <cell r="H34">
            <v>246</v>
          </cell>
          <cell r="I34">
            <v>5.4968382007910084E-3</v>
          </cell>
          <cell r="J34">
            <v>235</v>
          </cell>
          <cell r="K34">
            <v>241</v>
          </cell>
        </row>
        <row r="35">
          <cell r="B35" t="str">
            <v>Université du Québec en Outaouais</v>
          </cell>
          <cell r="C35">
            <v>6</v>
          </cell>
          <cell r="D35">
            <v>243</v>
          </cell>
          <cell r="E35">
            <v>5.5204688990867371E-3</v>
          </cell>
          <cell r="F35">
            <v>243</v>
          </cell>
          <cell r="G35">
            <v>5.4605514482820609E-3</v>
          </cell>
          <cell r="H35">
            <v>243</v>
          </cell>
          <cell r="I35">
            <v>5.42980358858624E-3</v>
          </cell>
          <cell r="J35">
            <v>224.33333333333334</v>
          </cell>
          <cell r="K35">
            <v>243</v>
          </cell>
        </row>
        <row r="36">
          <cell r="B36" t="str">
            <v>Saint Mary's University</v>
          </cell>
          <cell r="C36">
            <v>6</v>
          </cell>
          <cell r="D36">
            <v>252</v>
          </cell>
          <cell r="E36">
            <v>5.7249307101640235E-3</v>
          </cell>
          <cell r="F36">
            <v>255</v>
          </cell>
          <cell r="G36">
            <v>5.7302083099256195E-3</v>
          </cell>
          <cell r="H36">
            <v>255</v>
          </cell>
          <cell r="I36">
            <v>5.6979420374053133E-3</v>
          </cell>
          <cell r="J36">
            <v>248.33333333333334</v>
          </cell>
          <cell r="K36">
            <v>254</v>
          </cell>
        </row>
        <row r="37">
          <cell r="B37" t="str">
            <v>University of the Fraser Valley</v>
          </cell>
          <cell r="C37">
            <v>6</v>
          </cell>
          <cell r="D37">
            <v>255</v>
          </cell>
          <cell r="E37">
            <v>5.7930846471897857E-3</v>
          </cell>
          <cell r="F37">
            <v>270</v>
          </cell>
          <cell r="G37">
            <v>6.0672793869800679E-3</v>
          </cell>
          <cell r="H37">
            <v>261</v>
          </cell>
          <cell r="I37">
            <v>5.83201126181485E-3</v>
          </cell>
          <cell r="J37">
            <v>258</v>
          </cell>
          <cell r="K37">
            <v>262</v>
          </cell>
        </row>
        <row r="38">
          <cell r="B38" t="str">
            <v>École Polytechnique de Montréal</v>
          </cell>
          <cell r="C38">
            <v>8</v>
          </cell>
          <cell r="D38">
            <v>258</v>
          </cell>
          <cell r="E38">
            <v>5.8612385842155479E-3</v>
          </cell>
          <cell r="F38">
            <v>255</v>
          </cell>
          <cell r="G38">
            <v>5.7302083099256195E-3</v>
          </cell>
          <cell r="H38">
            <v>258</v>
          </cell>
          <cell r="I38">
            <v>5.7649766496100817E-3</v>
          </cell>
          <cell r="J38">
            <v>245</v>
          </cell>
          <cell r="K38">
            <v>257</v>
          </cell>
        </row>
        <row r="39">
          <cell r="B39" t="str">
            <v>Vancouver Island University</v>
          </cell>
          <cell r="C39">
            <v>6</v>
          </cell>
          <cell r="D39">
            <v>258</v>
          </cell>
          <cell r="E39">
            <v>5.8612385842155479E-3</v>
          </cell>
          <cell r="F39">
            <v>261</v>
          </cell>
          <cell r="G39">
            <v>5.8650367407473989E-3</v>
          </cell>
          <cell r="H39">
            <v>255</v>
          </cell>
          <cell r="I39">
            <v>5.6979420374053133E-3</v>
          </cell>
          <cell r="J39">
            <v>264.66666666666669</v>
          </cell>
          <cell r="K39">
            <v>258</v>
          </cell>
        </row>
        <row r="40">
          <cell r="B40" t="str">
            <v>University of Ontario Institute of Technology</v>
          </cell>
          <cell r="C40">
            <v>7</v>
          </cell>
          <cell r="D40">
            <v>270</v>
          </cell>
          <cell r="E40">
            <v>6.1338543323185973E-3</v>
          </cell>
          <cell r="F40">
            <v>243</v>
          </cell>
          <cell r="G40">
            <v>5.4605514482820609E-3</v>
          </cell>
          <cell r="H40">
            <v>294</v>
          </cell>
          <cell r="I40">
            <v>6.5693919960673024E-3</v>
          </cell>
          <cell r="J40">
            <v>223.66666666666666</v>
          </cell>
          <cell r="K40">
            <v>269</v>
          </cell>
        </row>
        <row r="41">
          <cell r="B41" t="str">
            <v>Université de Moncton</v>
          </cell>
          <cell r="C41">
            <v>7</v>
          </cell>
          <cell r="D41">
            <v>276</v>
          </cell>
          <cell r="E41">
            <v>6.2701622063701216E-3</v>
          </cell>
          <cell r="F41">
            <v>283</v>
          </cell>
          <cell r="G41">
            <v>6.35940765376059E-3</v>
          </cell>
          <cell r="H41">
            <v>336</v>
          </cell>
          <cell r="I41">
            <v>7.5078765669340606E-3</v>
          </cell>
          <cell r="J41">
            <v>277.66666666666669</v>
          </cell>
          <cell r="K41">
            <v>298.33333333333331</v>
          </cell>
        </row>
        <row r="42">
          <cell r="B42" t="str">
            <v>HEC Montréal</v>
          </cell>
          <cell r="C42">
            <v>7</v>
          </cell>
          <cell r="D42">
            <v>282</v>
          </cell>
          <cell r="E42">
            <v>6.406470080421646E-3</v>
          </cell>
          <cell r="F42">
            <v>279</v>
          </cell>
          <cell r="G42">
            <v>6.2695220332127368E-3</v>
          </cell>
          <cell r="H42">
            <v>291</v>
          </cell>
          <cell r="I42">
            <v>6.502357383862534E-3</v>
          </cell>
          <cell r="J42">
            <v>265.33333333333331</v>
          </cell>
          <cell r="K42">
            <v>284</v>
          </cell>
        </row>
        <row r="43">
          <cell r="B43" t="str">
            <v>Thompson Rivers University</v>
          </cell>
          <cell r="C43">
            <v>6</v>
          </cell>
          <cell r="D43">
            <v>318</v>
          </cell>
          <cell r="E43">
            <v>7.2243173247307918E-3</v>
          </cell>
          <cell r="F43">
            <v>321</v>
          </cell>
          <cell r="G43">
            <v>7.2133210489651921E-3</v>
          </cell>
          <cell r="H43">
            <v>339</v>
          </cell>
          <cell r="I43">
            <v>7.5749111791388289E-3</v>
          </cell>
          <cell r="J43">
            <v>309</v>
          </cell>
          <cell r="K43">
            <v>326</v>
          </cell>
        </row>
        <row r="44">
          <cell r="B44" t="str">
            <v>Lakehead University</v>
          </cell>
          <cell r="C44">
            <v>7</v>
          </cell>
          <cell r="D44">
            <v>324</v>
          </cell>
          <cell r="E44">
            <v>7.3606251987823161E-3</v>
          </cell>
          <cell r="F44">
            <v>336</v>
          </cell>
          <cell r="G44">
            <v>7.5503921260196404E-3</v>
          </cell>
          <cell r="H44">
            <v>339</v>
          </cell>
          <cell r="I44">
            <v>7.5749111791388289E-3</v>
          </cell>
          <cell r="J44">
            <v>322.66666666666669</v>
          </cell>
          <cell r="K44">
            <v>333</v>
          </cell>
        </row>
        <row r="45">
          <cell r="B45" t="str">
            <v>University of Winnipeg</v>
          </cell>
          <cell r="C45">
            <v>7</v>
          </cell>
          <cell r="D45">
            <v>330</v>
          </cell>
          <cell r="E45">
            <v>7.4969330728338404E-3</v>
          </cell>
          <cell r="F45">
            <v>345</v>
          </cell>
          <cell r="G45">
            <v>7.7526347722523085E-3</v>
          </cell>
          <cell r="H45">
            <v>330</v>
          </cell>
          <cell r="I45">
            <v>7.3738073425245231E-3</v>
          </cell>
          <cell r="J45">
            <v>333.66666666666669</v>
          </cell>
          <cell r="K45">
            <v>335</v>
          </cell>
        </row>
        <row r="46">
          <cell r="B46" t="str">
            <v>Mount Royal University</v>
          </cell>
          <cell r="C46">
            <v>7</v>
          </cell>
          <cell r="D46">
            <v>342</v>
          </cell>
          <cell r="E46">
            <v>7.769548820936889E-3</v>
          </cell>
          <cell r="F46">
            <v>345</v>
          </cell>
          <cell r="G46">
            <v>7.7526347722523085E-3</v>
          </cell>
          <cell r="H46">
            <v>348</v>
          </cell>
          <cell r="I46">
            <v>7.7760150157531339E-3</v>
          </cell>
          <cell r="J46">
            <v>341</v>
          </cell>
          <cell r="K46">
            <v>345</v>
          </cell>
        </row>
        <row r="47">
          <cell r="B47" t="str">
            <v>Laurentian University</v>
          </cell>
          <cell r="C47">
            <v>8</v>
          </cell>
          <cell r="D47">
            <v>372</v>
          </cell>
          <cell r="E47">
            <v>8.4510881911945106E-3</v>
          </cell>
          <cell r="F47">
            <v>369</v>
          </cell>
          <cell r="G47">
            <v>8.2919484955394258E-3</v>
          </cell>
          <cell r="H47">
            <v>357</v>
          </cell>
          <cell r="I47">
            <v>7.9771188523674388E-3</v>
          </cell>
          <cell r="J47">
            <v>368.66666666666669</v>
          </cell>
          <cell r="K47">
            <v>366</v>
          </cell>
        </row>
        <row r="48">
          <cell r="B48" t="str">
            <v>MacEwan University</v>
          </cell>
          <cell r="C48">
            <v>6</v>
          </cell>
          <cell r="D48">
            <v>384</v>
          </cell>
          <cell r="E48">
            <v>8.7237039392975609E-3</v>
          </cell>
          <cell r="F48">
            <v>402</v>
          </cell>
          <cell r="G48">
            <v>9.033504865059213E-3</v>
          </cell>
          <cell r="H48">
            <v>423</v>
          </cell>
          <cell r="I48">
            <v>9.4518803208723436E-3</v>
          </cell>
          <cell r="J48">
            <v>373.33333333333331</v>
          </cell>
          <cell r="K48">
            <v>403</v>
          </cell>
        </row>
        <row r="49">
          <cell r="B49" t="str">
            <v>Kwantlen Polytechnic University</v>
          </cell>
          <cell r="C49">
            <v>7</v>
          </cell>
          <cell r="D49">
            <v>393</v>
          </cell>
          <cell r="E49">
            <v>8.9281657503748474E-3</v>
          </cell>
          <cell r="F49">
            <v>417</v>
          </cell>
          <cell r="G49">
            <v>9.3705759421136604E-3</v>
          </cell>
          <cell r="H49">
            <v>435</v>
          </cell>
          <cell r="I49">
            <v>9.7200187696914169E-3</v>
          </cell>
          <cell r="J49">
            <v>395</v>
          </cell>
          <cell r="K49">
            <v>415</v>
          </cell>
        </row>
        <row r="50">
          <cell r="B50" t="str">
            <v>Université du Québec à Trois-Rivières</v>
          </cell>
          <cell r="C50">
            <v>8</v>
          </cell>
          <cell r="D50">
            <v>435</v>
          </cell>
          <cell r="E50">
            <v>9.8823208687355175E-3</v>
          </cell>
          <cell r="F50">
            <v>429</v>
          </cell>
          <cell r="G50">
            <v>9.6402328037572191E-3</v>
          </cell>
          <cell r="H50">
            <v>441</v>
          </cell>
          <cell r="I50">
            <v>9.8540879941009536E-3</v>
          </cell>
          <cell r="J50">
            <v>415.33333333333331</v>
          </cell>
          <cell r="K50">
            <v>435</v>
          </cell>
        </row>
        <row r="51">
          <cell r="B51" t="str">
            <v>University of Lethbridge</v>
          </cell>
          <cell r="C51">
            <v>8</v>
          </cell>
          <cell r="D51">
            <v>447</v>
          </cell>
          <cell r="E51">
            <v>1.0154936616838566E-2</v>
          </cell>
          <cell r="F51">
            <v>432</v>
          </cell>
          <cell r="G51">
            <v>9.7076470191681079E-3</v>
          </cell>
          <cell r="H51">
            <v>447</v>
          </cell>
          <cell r="I51">
            <v>9.9881572185104902E-3</v>
          </cell>
          <cell r="J51">
            <v>443</v>
          </cell>
          <cell r="K51">
            <v>442</v>
          </cell>
        </row>
        <row r="52">
          <cell r="B52" t="str">
            <v>University of Regina</v>
          </cell>
          <cell r="C52">
            <v>8</v>
          </cell>
          <cell r="D52">
            <v>477</v>
          </cell>
          <cell r="E52">
            <v>1.0836475987096188E-2</v>
          </cell>
          <cell r="F52">
            <v>480</v>
          </cell>
          <cell r="G52">
            <v>1.0786274465742342E-2</v>
          </cell>
          <cell r="H52">
            <v>477</v>
          </cell>
          <cell r="I52">
            <v>1.0658503340558175E-2</v>
          </cell>
          <cell r="J52">
            <v>465.66666666666669</v>
          </cell>
          <cell r="K52">
            <v>478</v>
          </cell>
        </row>
        <row r="53">
          <cell r="B53" t="str">
            <v>University of Windsor</v>
          </cell>
          <cell r="C53">
            <v>8</v>
          </cell>
          <cell r="D53">
            <v>495</v>
          </cell>
          <cell r="E53">
            <v>1.1245399609250761E-2</v>
          </cell>
          <cell r="F53">
            <v>501</v>
          </cell>
          <cell r="G53">
            <v>1.1258173973618571E-2</v>
          </cell>
          <cell r="H53">
            <v>519</v>
          </cell>
          <cell r="I53">
            <v>1.1596987911424932E-2</v>
          </cell>
          <cell r="J53">
            <v>506.33333333333331</v>
          </cell>
          <cell r="K53">
            <v>505</v>
          </cell>
        </row>
        <row r="54">
          <cell r="B54" t="str">
            <v>Wilfrid Laurier University</v>
          </cell>
          <cell r="C54">
            <v>8</v>
          </cell>
          <cell r="D54">
            <v>546</v>
          </cell>
          <cell r="E54">
            <v>1.2404016538688719E-2</v>
          </cell>
          <cell r="F54">
            <v>549</v>
          </cell>
          <cell r="G54">
            <v>1.2336801420192804E-2</v>
          </cell>
          <cell r="H54">
            <v>555</v>
          </cell>
          <cell r="I54">
            <v>1.2401403257882153E-2</v>
          </cell>
          <cell r="J54">
            <v>542.66666666666663</v>
          </cell>
          <cell r="K54">
            <v>550</v>
          </cell>
        </row>
        <row r="55">
          <cell r="B55" t="str">
            <v>Brock University</v>
          </cell>
          <cell r="C55">
            <v>8</v>
          </cell>
          <cell r="D55">
            <v>582</v>
          </cell>
          <cell r="E55">
            <v>1.3221863782997865E-2</v>
          </cell>
          <cell r="F55">
            <v>573</v>
          </cell>
          <cell r="G55">
            <v>1.2876115143479921E-2</v>
          </cell>
          <cell r="H55">
            <v>579</v>
          </cell>
          <cell r="I55">
            <v>1.29376801555203E-2</v>
          </cell>
          <cell r="J55">
            <v>572.66666666666663</v>
          </cell>
          <cell r="K55">
            <v>578</v>
          </cell>
        </row>
        <row r="56">
          <cell r="B56" t="str">
            <v>University of New Brunswick</v>
          </cell>
          <cell r="C56">
            <v>8</v>
          </cell>
          <cell r="D56">
            <v>558</v>
          </cell>
          <cell r="E56">
            <v>1.2676632286791768E-2</v>
          </cell>
          <cell r="F56">
            <v>555</v>
          </cell>
          <cell r="G56">
            <v>1.2471629851014583E-2</v>
          </cell>
          <cell r="H56">
            <v>561</v>
          </cell>
          <cell r="I56">
            <v>1.253547248229169E-2</v>
          </cell>
          <cell r="J56">
            <v>635.66666666666663</v>
          </cell>
          <cell r="K56">
            <v>558</v>
          </cell>
        </row>
        <row r="57">
          <cell r="B57" t="str">
            <v>University of Guelph</v>
          </cell>
          <cell r="C57">
            <v>10</v>
          </cell>
          <cell r="D57">
            <v>756</v>
          </cell>
          <cell r="E57">
            <v>1.717479213049207E-2</v>
          </cell>
          <cell r="F57">
            <v>783</v>
          </cell>
          <cell r="G57">
            <v>1.7595110222242197E-2</v>
          </cell>
          <cell r="H57">
            <v>819</v>
          </cell>
          <cell r="I57">
            <v>1.8300449131901771E-2</v>
          </cell>
          <cell r="J57">
            <v>773</v>
          </cell>
          <cell r="K57">
            <v>786</v>
          </cell>
        </row>
        <row r="58">
          <cell r="B58" t="str">
            <v>University of Victoria</v>
          </cell>
          <cell r="C58">
            <v>10</v>
          </cell>
          <cell r="D58">
            <v>756</v>
          </cell>
          <cell r="E58">
            <v>1.717479213049207E-2</v>
          </cell>
          <cell r="F58">
            <v>717</v>
          </cell>
          <cell r="G58">
            <v>1.6111997483202623E-2</v>
          </cell>
          <cell r="H58">
            <v>732</v>
          </cell>
          <cell r="I58">
            <v>1.6356445377963488E-2</v>
          </cell>
          <cell r="J58">
            <v>742.66666666666663</v>
          </cell>
          <cell r="K58">
            <v>735</v>
          </cell>
        </row>
        <row r="59">
          <cell r="B59" t="str">
            <v>Queen's University</v>
          </cell>
          <cell r="C59">
            <v>10</v>
          </cell>
          <cell r="D59">
            <v>759</v>
          </cell>
          <cell r="E59">
            <v>1.7242946067517834E-2</v>
          </cell>
          <cell r="F59">
            <v>768</v>
          </cell>
          <cell r="G59">
            <v>1.725803914518775E-2</v>
          </cell>
          <cell r="H59">
            <v>789</v>
          </cell>
          <cell r="I59">
            <v>1.7630103009854087E-2</v>
          </cell>
          <cell r="J59">
            <v>776.33333333333337</v>
          </cell>
          <cell r="K59">
            <v>772</v>
          </cell>
        </row>
        <row r="60">
          <cell r="B60" t="str">
            <v>Carleton University</v>
          </cell>
          <cell r="C60">
            <v>10</v>
          </cell>
          <cell r="D60">
            <v>882</v>
          </cell>
          <cell r="E60">
            <v>2.0037257485574084E-2</v>
          </cell>
          <cell r="F60">
            <v>921</v>
          </cell>
          <cell r="G60">
            <v>2.069616413114312E-2</v>
          </cell>
          <cell r="H60">
            <v>930</v>
          </cell>
          <cell r="I60">
            <v>2.0780729783478204E-2</v>
          </cell>
          <cell r="J60">
            <v>874.66666666666663</v>
          </cell>
          <cell r="K60">
            <v>911</v>
          </cell>
        </row>
        <row r="61">
          <cell r="B61" t="str">
            <v>McMaster University</v>
          </cell>
          <cell r="C61">
            <v>11</v>
          </cell>
          <cell r="D61">
            <v>894</v>
          </cell>
          <cell r="E61">
            <v>2.0309873233677132E-2</v>
          </cell>
          <cell r="F61">
            <v>933</v>
          </cell>
          <cell r="G61">
            <v>2.0965820992786679E-2</v>
          </cell>
          <cell r="H61">
            <v>792</v>
          </cell>
          <cell r="I61">
            <v>1.7697137622058857E-2</v>
          </cell>
          <cell r="J61">
            <v>1044</v>
          </cell>
          <cell r="K61">
            <v>873</v>
          </cell>
        </row>
        <row r="62">
          <cell r="B62" t="str">
            <v>Concordia University</v>
          </cell>
          <cell r="C62">
            <v>10</v>
          </cell>
          <cell r="D62">
            <v>960</v>
          </cell>
          <cell r="E62">
            <v>2.18092598482439E-2</v>
          </cell>
          <cell r="F62">
            <v>1026</v>
          </cell>
          <cell r="G62">
            <v>2.3055661670524259E-2</v>
          </cell>
          <cell r="H62">
            <v>1014</v>
          </cell>
          <cell r="I62">
            <v>2.2657698925211717E-2</v>
          </cell>
          <cell r="J62">
            <v>992.66666666666663</v>
          </cell>
          <cell r="K62">
            <v>1000</v>
          </cell>
        </row>
        <row r="63">
          <cell r="B63" t="str">
            <v>Dalhousie University</v>
          </cell>
          <cell r="C63">
            <v>10</v>
          </cell>
          <cell r="D63">
            <v>981</v>
          </cell>
          <cell r="E63">
            <v>2.2286337407424237E-2</v>
          </cell>
          <cell r="F63">
            <v>975</v>
          </cell>
          <cell r="G63">
            <v>2.1909620008539132E-2</v>
          </cell>
          <cell r="H63">
            <v>972</v>
          </cell>
          <cell r="I63">
            <v>2.171921435434496E-2</v>
          </cell>
          <cell r="J63">
            <v>1005</v>
          </cell>
          <cell r="K63">
            <v>976</v>
          </cell>
        </row>
        <row r="64">
          <cell r="B64" t="str">
            <v>University of Saskatchewan</v>
          </cell>
          <cell r="C64">
            <v>10</v>
          </cell>
          <cell r="D64">
            <v>1008</v>
          </cell>
          <cell r="E64">
            <v>2.2899722840656094E-2</v>
          </cell>
          <cell r="F64">
            <v>972</v>
          </cell>
          <cell r="G64">
            <v>2.1842205793128244E-2</v>
          </cell>
          <cell r="H64">
            <v>975</v>
          </cell>
          <cell r="I64">
            <v>2.1786248966549727E-2</v>
          </cell>
          <cell r="J64">
            <v>1019.3333333333334</v>
          </cell>
          <cell r="K64">
            <v>985</v>
          </cell>
        </row>
        <row r="65">
          <cell r="B65" t="str">
            <v>Simon Fraser University</v>
          </cell>
          <cell r="C65">
            <v>10</v>
          </cell>
          <cell r="D65">
            <v>1011</v>
          </cell>
          <cell r="E65">
            <v>2.2967876777681858E-2</v>
          </cell>
          <cell r="F65">
            <v>1002</v>
          </cell>
          <cell r="G65">
            <v>2.2516347947237142E-2</v>
          </cell>
          <cell r="H65">
            <v>999</v>
          </cell>
          <cell r="I65">
            <v>2.2322525864187877E-2</v>
          </cell>
          <cell r="J65">
            <v>877.66666666666663</v>
          </cell>
          <cell r="K65">
            <v>1004</v>
          </cell>
        </row>
        <row r="66">
          <cell r="B66" t="str">
            <v>Memorial University of Newfoundland</v>
          </cell>
          <cell r="C66">
            <v>10</v>
          </cell>
          <cell r="D66">
            <v>1035</v>
          </cell>
          <cell r="E66">
            <v>2.3513108273887955E-2</v>
          </cell>
          <cell r="F66">
            <v>1002</v>
          </cell>
          <cell r="G66">
            <v>2.2516347947237142E-2</v>
          </cell>
          <cell r="H66">
            <v>1002</v>
          </cell>
          <cell r="I66">
            <v>2.2389560476392643E-2</v>
          </cell>
          <cell r="J66">
            <v>990.66666666666663</v>
          </cell>
          <cell r="K66">
            <v>1013</v>
          </cell>
        </row>
        <row r="67">
          <cell r="B67" t="str">
            <v>Ryerson University</v>
          </cell>
          <cell r="C67">
            <v>10</v>
          </cell>
          <cell r="D67">
            <v>1047</v>
          </cell>
          <cell r="E67">
            <v>2.3785724021991004E-2</v>
          </cell>
          <cell r="F67">
            <v>1065</v>
          </cell>
          <cell r="G67">
            <v>2.3932046470865824E-2</v>
          </cell>
          <cell r="H67">
            <v>1089</v>
          </cell>
          <cell r="I67">
            <v>2.4333564230330926E-2</v>
          </cell>
          <cell r="J67">
            <v>1014.3333333333334</v>
          </cell>
          <cell r="K67">
            <v>1067</v>
          </cell>
        </row>
        <row r="68">
          <cell r="B68" t="str">
            <v>Université du Québec à Montréal</v>
          </cell>
          <cell r="C68">
            <v>10</v>
          </cell>
          <cell r="D68">
            <v>1101</v>
          </cell>
          <cell r="E68">
            <v>2.5012494888454723E-2</v>
          </cell>
          <cell r="F68">
            <v>1101</v>
          </cell>
          <cell r="G68">
            <v>2.47410170557965E-2</v>
          </cell>
          <cell r="H68">
            <v>1110</v>
          </cell>
          <cell r="I68">
            <v>2.4802806515764306E-2</v>
          </cell>
          <cell r="J68">
            <v>1052.6666666666667</v>
          </cell>
          <cell r="K68">
            <v>1104</v>
          </cell>
        </row>
        <row r="69">
          <cell r="B69" t="str">
            <v>Université de Sherbrooke</v>
          </cell>
          <cell r="C69">
            <v>10</v>
          </cell>
          <cell r="D69">
            <v>1131</v>
          </cell>
          <cell r="E69">
            <v>2.5694034258712344E-2</v>
          </cell>
          <cell r="F69">
            <v>1134</v>
          </cell>
          <cell r="G69">
            <v>2.5482573425316284E-2</v>
          </cell>
          <cell r="H69">
            <v>1164</v>
          </cell>
          <cell r="I69">
            <v>2.6009429535450136E-2</v>
          </cell>
          <cell r="J69">
            <v>1111.6666666666667</v>
          </cell>
          <cell r="K69">
            <v>1143</v>
          </cell>
        </row>
        <row r="70">
          <cell r="B70" t="str">
            <v>University of Manitoba</v>
          </cell>
          <cell r="C70">
            <v>11</v>
          </cell>
          <cell r="D70">
            <v>1134</v>
          </cell>
          <cell r="E70">
            <v>2.5762188195738108E-2</v>
          </cell>
          <cell r="F70">
            <v>1131</v>
          </cell>
          <cell r="G70">
            <v>2.5415159209905395E-2</v>
          </cell>
          <cell r="H70">
            <v>1140</v>
          </cell>
          <cell r="I70">
            <v>2.547315263781199E-2</v>
          </cell>
          <cell r="J70">
            <v>1143</v>
          </cell>
          <cell r="K70">
            <v>1135</v>
          </cell>
        </row>
        <row r="71">
          <cell r="B71" t="str">
            <v>University of Waterloo</v>
          </cell>
          <cell r="C71">
            <v>11</v>
          </cell>
          <cell r="D71">
            <v>1209</v>
          </cell>
          <cell r="E71">
            <v>2.746603662138216E-2</v>
          </cell>
          <cell r="F71">
            <v>1230</v>
          </cell>
          <cell r="G71">
            <v>2.7639828318464753E-2</v>
          </cell>
          <cell r="H71">
            <v>1287</v>
          </cell>
          <cell r="I71">
            <v>2.8757848635845643E-2</v>
          </cell>
          <cell r="J71">
            <v>1154</v>
          </cell>
          <cell r="K71">
            <v>1242</v>
          </cell>
        </row>
        <row r="72">
          <cell r="B72" t="str">
            <v>Western University</v>
          </cell>
          <cell r="C72">
            <v>11</v>
          </cell>
          <cell r="D72">
            <v>1266</v>
          </cell>
          <cell r="E72">
            <v>2.8760961424871643E-2</v>
          </cell>
          <cell r="F72">
            <v>1350</v>
          </cell>
          <cell r="G72">
            <v>3.0336396934900339E-2</v>
          </cell>
          <cell r="H72">
            <v>1251</v>
          </cell>
          <cell r="I72">
            <v>2.7953433289388419E-2</v>
          </cell>
          <cell r="J72">
            <v>1312.6666666666667</v>
          </cell>
          <cell r="K72">
            <v>1289</v>
          </cell>
        </row>
        <row r="73">
          <cell r="B73" t="str">
            <v>University of Ottawa</v>
          </cell>
          <cell r="C73">
            <v>11</v>
          </cell>
          <cell r="D73">
            <v>1272</v>
          </cell>
          <cell r="E73">
            <v>2.8897269298923167E-2</v>
          </cell>
          <cell r="F73">
            <v>1263</v>
          </cell>
          <cell r="G73">
            <v>2.838138468798454E-2</v>
          </cell>
          <cell r="H73">
            <v>1212</v>
          </cell>
          <cell r="I73">
            <v>2.7081983330726433E-2</v>
          </cell>
          <cell r="J73">
            <v>1263</v>
          </cell>
          <cell r="K73">
            <v>1249</v>
          </cell>
        </row>
        <row r="74">
          <cell r="B74" t="str">
            <v>York University</v>
          </cell>
          <cell r="C74">
            <v>11</v>
          </cell>
          <cell r="D74">
            <v>1392</v>
          </cell>
          <cell r="E74">
            <v>3.1623426779953653E-2</v>
          </cell>
          <cell r="F74">
            <v>1389</v>
          </cell>
          <cell r="G74">
            <v>3.1212781735241904E-2</v>
          </cell>
          <cell r="H74">
            <v>1383</v>
          </cell>
          <cell r="I74">
            <v>3.0902956226398229E-2</v>
          </cell>
          <cell r="J74">
            <v>1392.3333333333333</v>
          </cell>
          <cell r="K74">
            <v>1388</v>
          </cell>
        </row>
        <row r="75">
          <cell r="B75" t="str">
            <v>Université Laval</v>
          </cell>
          <cell r="C75">
            <v>11</v>
          </cell>
          <cell r="D75">
            <v>1410</v>
          </cell>
          <cell r="E75">
            <v>3.203235040210823E-2</v>
          </cell>
          <cell r="F75">
            <v>1386</v>
          </cell>
          <cell r="G75">
            <v>3.1145367519831015E-2</v>
          </cell>
          <cell r="H75">
            <v>1383</v>
          </cell>
          <cell r="I75">
            <v>3.0902956226398229E-2</v>
          </cell>
          <cell r="J75">
            <v>1381.3333333333333</v>
          </cell>
          <cell r="K75">
            <v>1393</v>
          </cell>
        </row>
        <row r="76">
          <cell r="B76" t="str">
            <v>Université de Montréal</v>
          </cell>
          <cell r="C76">
            <v>11</v>
          </cell>
          <cell r="D76">
            <v>1428</v>
          </cell>
          <cell r="E76">
            <v>3.2441274024262799E-2</v>
          </cell>
          <cell r="F76">
            <v>1434</v>
          </cell>
          <cell r="G76">
            <v>3.2223994966405246E-2</v>
          </cell>
          <cell r="H76">
            <v>1428</v>
          </cell>
          <cell r="I76">
            <v>3.1908475409469755E-2</v>
          </cell>
          <cell r="J76">
            <v>1440</v>
          </cell>
          <cell r="K76">
            <v>1430</v>
          </cell>
        </row>
        <row r="77">
          <cell r="B77" t="str">
            <v>University of Alberta</v>
          </cell>
          <cell r="C77">
            <v>12</v>
          </cell>
          <cell r="D77">
            <v>1614</v>
          </cell>
          <cell r="E77">
            <v>3.6666818119860056E-2</v>
          </cell>
          <cell r="F77">
            <v>1632</v>
          </cell>
          <cell r="G77">
            <v>3.6673333183523962E-2</v>
          </cell>
          <cell r="H77">
            <v>1629</v>
          </cell>
          <cell r="I77">
            <v>3.6399794427189242E-2</v>
          </cell>
          <cell r="J77">
            <v>1617.3333333333333</v>
          </cell>
          <cell r="K77">
            <v>1625</v>
          </cell>
        </row>
        <row r="78">
          <cell r="B78" t="str">
            <v>University of Calgary</v>
          </cell>
          <cell r="C78">
            <v>12</v>
          </cell>
          <cell r="D78">
            <v>1788</v>
          </cell>
          <cell r="E78">
            <v>4.0619746467354265E-2</v>
          </cell>
          <cell r="F78">
            <v>1836</v>
          </cell>
          <cell r="G78">
            <v>4.1257499831464463E-2</v>
          </cell>
          <cell r="H78">
            <v>1812</v>
          </cell>
          <cell r="I78">
            <v>4.0488905771680114E-2</v>
          </cell>
          <cell r="J78">
            <v>1767</v>
          </cell>
          <cell r="K78">
            <v>1812</v>
          </cell>
        </row>
        <row r="79">
          <cell r="B79" t="str">
            <v>McGill University</v>
          </cell>
          <cell r="C79">
            <v>12</v>
          </cell>
          <cell r="D79">
            <v>1836</v>
          </cell>
          <cell r="E79">
            <v>4.1710209459766459E-2</v>
          </cell>
          <cell r="F79">
            <v>1866</v>
          </cell>
          <cell r="G79">
            <v>4.1931641985573358E-2</v>
          </cell>
          <cell r="H79">
            <v>1917</v>
          </cell>
          <cell r="I79">
            <v>4.2835117198847007E-2</v>
          </cell>
          <cell r="J79">
            <v>1799</v>
          </cell>
          <cell r="K79">
            <v>1873</v>
          </cell>
        </row>
        <row r="80">
          <cell r="B80" t="str">
            <v>University of Toronto</v>
          </cell>
          <cell r="C80">
            <v>13</v>
          </cell>
          <cell r="D80">
            <v>2643</v>
          </cell>
          <cell r="E80">
            <v>6.0043618519696487E-2</v>
          </cell>
          <cell r="F80">
            <v>2712</v>
          </cell>
          <cell r="G80">
            <v>6.0942450731444234E-2</v>
          </cell>
          <cell r="H80">
            <v>2718</v>
          </cell>
          <cell r="I80">
            <v>6.0733358657520164E-2</v>
          </cell>
          <cell r="J80">
            <v>2684.3333333333335</v>
          </cell>
          <cell r="K80">
            <v>2691</v>
          </cell>
        </row>
        <row r="81">
          <cell r="B81" t="str">
            <v>University of British Columbia</v>
          </cell>
          <cell r="C81">
            <v>12</v>
          </cell>
          <cell r="D81">
            <v>2781</v>
          </cell>
          <cell r="E81">
            <v>6.3178699622881543E-2</v>
          </cell>
          <cell r="F81">
            <v>2778</v>
          </cell>
          <cell r="G81">
            <v>6.2425563470483808E-2</v>
          </cell>
          <cell r="H81">
            <v>2847</v>
          </cell>
          <cell r="I81">
            <v>6.3615846982325211E-2</v>
          </cell>
          <cell r="J81">
            <v>2729.6666666666665</v>
          </cell>
          <cell r="K81">
            <v>2802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elssci2014CRKNMemberMatch"/>
      <sheetName val="t&amp;f2013CRKNMemberMatch"/>
      <sheetName val="springer2014CRKNMemberMatch"/>
      <sheetName val="Sheet4"/>
    </sheetNames>
    <sheetDataSet>
      <sheetData sheetId="0" refreshError="1"/>
      <sheetData sheetId="1">
        <row r="3">
          <cell r="A3" t="str">
            <v>Acadia University</v>
          </cell>
          <cell r="B3">
            <v>56398.63</v>
          </cell>
          <cell r="C3">
            <v>55800</v>
          </cell>
        </row>
        <row r="4">
          <cell r="A4" t="str">
            <v>Cape Breton University</v>
          </cell>
          <cell r="B4">
            <v>19743.080000000002</v>
          </cell>
          <cell r="C4">
            <v>19500</v>
          </cell>
        </row>
        <row r="5">
          <cell r="A5" t="str">
            <v>Dalhousie University</v>
          </cell>
          <cell r="B5">
            <v>91865.48</v>
          </cell>
          <cell r="C5">
            <v>90900</v>
          </cell>
        </row>
        <row r="6">
          <cell r="A6" t="str">
            <v>Dalhousie's Agricultural Campus (formerly NSAC)</v>
          </cell>
          <cell r="B6">
            <v>37066.410000000003</v>
          </cell>
          <cell r="C6">
            <v>36700</v>
          </cell>
        </row>
        <row r="7">
          <cell r="A7" t="str">
            <v>Memorial University of Newfoundland</v>
          </cell>
          <cell r="B7">
            <v>76106.240000000005</v>
          </cell>
          <cell r="C7">
            <v>75300</v>
          </cell>
        </row>
        <row r="8">
          <cell r="A8" t="str">
            <v>Mount Allison University</v>
          </cell>
          <cell r="B8">
            <v>33727.360000000001</v>
          </cell>
          <cell r="C8">
            <v>33400</v>
          </cell>
        </row>
        <row r="9">
          <cell r="A9" t="str">
            <v>Mount Saint Vincent University</v>
          </cell>
          <cell r="B9">
            <v>41147.019999999997</v>
          </cell>
          <cell r="C9">
            <v>40700</v>
          </cell>
        </row>
        <row r="10">
          <cell r="A10" t="str">
            <v>Saint Mary's University</v>
          </cell>
          <cell r="B10">
            <v>79579.17</v>
          </cell>
          <cell r="C10">
            <v>78800</v>
          </cell>
        </row>
        <row r="11">
          <cell r="A11" t="str">
            <v>St. Francis Xavier University</v>
          </cell>
          <cell r="B11">
            <v>61914.65</v>
          </cell>
          <cell r="C11">
            <v>61300</v>
          </cell>
        </row>
        <row r="12">
          <cell r="A12" t="str">
            <v>Université de Moncton</v>
          </cell>
          <cell r="B12">
            <v>116799.38</v>
          </cell>
          <cell r="C12">
            <v>115600</v>
          </cell>
        </row>
        <row r="13">
          <cell r="A13" t="str">
            <v>Université Sainte-Anne</v>
          </cell>
          <cell r="B13">
            <v>3915.94</v>
          </cell>
          <cell r="C13">
            <v>3900</v>
          </cell>
        </row>
        <row r="14">
          <cell r="A14" t="str">
            <v>University of New Brunswick</v>
          </cell>
          <cell r="B14">
            <v>324774.45</v>
          </cell>
          <cell r="C14">
            <v>321500</v>
          </cell>
        </row>
        <row r="15">
          <cell r="A15" t="str">
            <v>University of Prince Edward Island</v>
          </cell>
          <cell r="B15">
            <v>160595.62</v>
          </cell>
          <cell r="C15">
            <v>159000</v>
          </cell>
        </row>
        <row r="16">
          <cell r="A16" t="str">
            <v>Bishop's University</v>
          </cell>
          <cell r="B16">
            <v>32239</v>
          </cell>
          <cell r="C16">
            <v>31900</v>
          </cell>
        </row>
        <row r="17">
          <cell r="A17" t="str">
            <v>Concordia University</v>
          </cell>
          <cell r="B17">
            <v>474931.86</v>
          </cell>
          <cell r="C17">
            <v>470200</v>
          </cell>
        </row>
        <row r="18">
          <cell r="A18" t="str">
            <v>McGill University</v>
          </cell>
          <cell r="B18">
            <v>1236796.8</v>
          </cell>
          <cell r="C18">
            <v>1224400</v>
          </cell>
        </row>
        <row r="19">
          <cell r="A19" t="str">
            <v>Université de Montréal</v>
          </cell>
          <cell r="B19">
            <v>1475838.77</v>
          </cell>
          <cell r="C19">
            <v>1461100</v>
          </cell>
        </row>
        <row r="20">
          <cell r="A20" t="str">
            <v>École Polytechnique de Montréal</v>
          </cell>
          <cell r="B20">
            <v>107142.39999999999</v>
          </cell>
          <cell r="C20">
            <v>106100</v>
          </cell>
        </row>
        <row r="21">
          <cell r="A21" t="str">
            <v>HEC Montréal</v>
          </cell>
          <cell r="B21">
            <v>127458.27</v>
          </cell>
          <cell r="C21">
            <v>126200</v>
          </cell>
        </row>
        <row r="22">
          <cell r="A22" t="str">
            <v>Université de Sherbrooke</v>
          </cell>
          <cell r="B22">
            <v>604316.5</v>
          </cell>
          <cell r="C22">
            <v>598300</v>
          </cell>
        </row>
        <row r="23">
          <cell r="A23" t="str">
            <v>Université du Québec à Chicoutimi</v>
          </cell>
          <cell r="B23">
            <v>43498.39</v>
          </cell>
          <cell r="C23">
            <v>43100</v>
          </cell>
        </row>
        <row r="24">
          <cell r="A24" t="str">
            <v>Université du Québec à Montréal</v>
          </cell>
          <cell r="B24">
            <v>518942.53</v>
          </cell>
          <cell r="C24">
            <v>513800</v>
          </cell>
        </row>
        <row r="25">
          <cell r="A25" t="str">
            <v>Université du Québec à Rimouski</v>
          </cell>
          <cell r="B25">
            <v>65670.91</v>
          </cell>
          <cell r="C25">
            <v>65000</v>
          </cell>
        </row>
        <row r="26">
          <cell r="A26" t="str">
            <v>Université du Québec à Trois-Rivières</v>
          </cell>
          <cell r="B26">
            <v>173766.54</v>
          </cell>
          <cell r="C26">
            <v>172000</v>
          </cell>
        </row>
        <row r="27">
          <cell r="A27" t="str">
            <v>Université du Québec en Abitibi-Témiscamingue</v>
          </cell>
          <cell r="B27">
            <v>14361.51</v>
          </cell>
          <cell r="C27">
            <v>14200</v>
          </cell>
        </row>
        <row r="28">
          <cell r="A28" t="str">
            <v>Université du Québec en Outaouais</v>
          </cell>
          <cell r="B28">
            <v>36155.21</v>
          </cell>
          <cell r="C28">
            <v>35800</v>
          </cell>
        </row>
        <row r="29">
          <cell r="A29" t="str">
            <v>École nationale d'administration publique</v>
          </cell>
          <cell r="B29">
            <v>6517.5</v>
          </cell>
          <cell r="C29">
            <v>6500</v>
          </cell>
        </row>
        <row r="30">
          <cell r="A30" t="str">
            <v>École de technologie supérieure</v>
          </cell>
          <cell r="B30">
            <v>49096.55</v>
          </cell>
          <cell r="C30">
            <v>48600</v>
          </cell>
        </row>
        <row r="31">
          <cell r="A31" t="str">
            <v>Institut national de la recherche scientifique</v>
          </cell>
          <cell r="B31">
            <v>65358.31</v>
          </cell>
          <cell r="C31">
            <v>64700</v>
          </cell>
        </row>
        <row r="32">
          <cell r="A32" t="str">
            <v>Télé-université du Québec</v>
          </cell>
          <cell r="B32">
            <v>12887.73</v>
          </cell>
          <cell r="C32">
            <v>12800</v>
          </cell>
        </row>
        <row r="33">
          <cell r="A33" t="str">
            <v>Université Laval</v>
          </cell>
          <cell r="B33">
            <v>920185.29</v>
          </cell>
          <cell r="C33">
            <v>911000</v>
          </cell>
        </row>
        <row r="34">
          <cell r="A34" t="str">
            <v>Brock University</v>
          </cell>
          <cell r="B34">
            <v>330405.68</v>
          </cell>
          <cell r="C34">
            <v>327100</v>
          </cell>
        </row>
        <row r="35">
          <cell r="A35" t="str">
            <v>Carleton University</v>
          </cell>
          <cell r="B35">
            <v>275056.37</v>
          </cell>
          <cell r="C35">
            <v>272300</v>
          </cell>
        </row>
        <row r="36">
          <cell r="A36" t="str">
            <v>Lakehead University</v>
          </cell>
          <cell r="B36">
            <v>131905.5</v>
          </cell>
          <cell r="C36">
            <v>130600</v>
          </cell>
        </row>
        <row r="37">
          <cell r="A37" t="str">
            <v>Laurentian University</v>
          </cell>
          <cell r="B37">
            <v>141576.54999999999</v>
          </cell>
          <cell r="C37">
            <v>140200</v>
          </cell>
        </row>
        <row r="38">
          <cell r="A38" t="str">
            <v>McMaster University</v>
          </cell>
          <cell r="B38">
            <v>1570998.19</v>
          </cell>
          <cell r="C38">
            <v>1555300</v>
          </cell>
        </row>
        <row r="39">
          <cell r="A39" t="str">
            <v>Nipissing University</v>
          </cell>
          <cell r="B39">
            <v>19159.490000000002</v>
          </cell>
          <cell r="C39">
            <v>19000</v>
          </cell>
        </row>
        <row r="40">
          <cell r="A40" t="str">
            <v>Queen's University</v>
          </cell>
          <cell r="B40">
            <v>1314782.8700000001</v>
          </cell>
          <cell r="C40">
            <v>1301600</v>
          </cell>
        </row>
        <row r="41">
          <cell r="A41" t="str">
            <v>Royal Military College of Canada</v>
          </cell>
          <cell r="B41">
            <v>236299.37</v>
          </cell>
          <cell r="C41">
            <v>233900</v>
          </cell>
        </row>
        <row r="42">
          <cell r="A42" t="str">
            <v>Ryerson University</v>
          </cell>
          <cell r="B42">
            <v>185618.09</v>
          </cell>
          <cell r="C42">
            <v>183800</v>
          </cell>
        </row>
        <row r="43">
          <cell r="A43" t="str">
            <v>Trent University</v>
          </cell>
          <cell r="B43">
            <v>67604.600000000006</v>
          </cell>
          <cell r="C43">
            <v>66900</v>
          </cell>
        </row>
        <row r="44">
          <cell r="A44" t="str">
            <v>University of Guelph</v>
          </cell>
          <cell r="B44">
            <v>534722.75</v>
          </cell>
          <cell r="C44">
            <v>529400</v>
          </cell>
        </row>
        <row r="45">
          <cell r="A45" t="str">
            <v>University of Ontario Institute of Technology</v>
          </cell>
          <cell r="B45">
            <v>18504.66</v>
          </cell>
          <cell r="C45">
            <v>18300</v>
          </cell>
        </row>
        <row r="46">
          <cell r="A46" t="str">
            <v>University of Ottawa</v>
          </cell>
          <cell r="B46">
            <v>914604.02</v>
          </cell>
          <cell r="C46">
            <v>905500</v>
          </cell>
        </row>
        <row r="47">
          <cell r="A47" t="str">
            <v>University of Toronto</v>
          </cell>
          <cell r="B47">
            <v>2858007.15</v>
          </cell>
          <cell r="C47">
            <v>2829400</v>
          </cell>
        </row>
        <row r="48">
          <cell r="A48" t="str">
            <v>University of Waterloo</v>
          </cell>
          <cell r="B48">
            <v>1278940.93</v>
          </cell>
          <cell r="C48">
            <v>1266200</v>
          </cell>
        </row>
        <row r="49">
          <cell r="A49" t="str">
            <v>Western University</v>
          </cell>
          <cell r="B49">
            <v>1644897.61</v>
          </cell>
          <cell r="C49">
            <v>1628400</v>
          </cell>
        </row>
        <row r="50">
          <cell r="A50" t="str">
            <v>University of Windsor</v>
          </cell>
          <cell r="B50">
            <v>401835.95</v>
          </cell>
          <cell r="C50">
            <v>397800</v>
          </cell>
        </row>
        <row r="51">
          <cell r="A51" t="str">
            <v>Wilfrid Laurier University</v>
          </cell>
          <cell r="B51">
            <v>163380.70000000001</v>
          </cell>
          <cell r="C51">
            <v>161700</v>
          </cell>
        </row>
        <row r="52">
          <cell r="A52" t="str">
            <v>York University</v>
          </cell>
          <cell r="B52">
            <v>948303.25</v>
          </cell>
          <cell r="C52">
            <v>938800</v>
          </cell>
        </row>
        <row r="53">
          <cell r="A53" t="str">
            <v>Athabasca University</v>
          </cell>
          <cell r="B53">
            <v>27927.63</v>
          </cell>
          <cell r="C53">
            <v>27600</v>
          </cell>
        </row>
        <row r="54">
          <cell r="A54" t="str">
            <v>Brandon University</v>
          </cell>
          <cell r="B54">
            <v>22524.33</v>
          </cell>
          <cell r="C54">
            <v>22300</v>
          </cell>
        </row>
        <row r="55">
          <cell r="A55" t="str">
            <v>Concordia University College of Alberta</v>
          </cell>
          <cell r="B55">
            <v>15525.51</v>
          </cell>
          <cell r="C55">
            <v>15400</v>
          </cell>
        </row>
        <row r="56">
          <cell r="A56" t="str">
            <v>Kwantlen Polytechnic University</v>
          </cell>
          <cell r="B56">
            <v>72977</v>
          </cell>
          <cell r="C56">
            <v>72200</v>
          </cell>
        </row>
        <row r="57">
          <cell r="A57" t="str">
            <v>Mount Royal University</v>
          </cell>
          <cell r="B57">
            <v>81722.320000000007</v>
          </cell>
          <cell r="C57">
            <v>80900</v>
          </cell>
        </row>
        <row r="58">
          <cell r="A58" t="str">
            <v>Royal Roads University</v>
          </cell>
          <cell r="B58">
            <v>10429.11</v>
          </cell>
          <cell r="C58">
            <v>10300</v>
          </cell>
        </row>
        <row r="59">
          <cell r="A59" t="str">
            <v>Simon Fraser University</v>
          </cell>
          <cell r="B59">
            <v>1106854.49</v>
          </cell>
          <cell r="C59">
            <v>1095800</v>
          </cell>
        </row>
        <row r="60">
          <cell r="A60" t="str">
            <v>The King's University College (Alberta)</v>
          </cell>
          <cell r="B60">
            <v>4624.22</v>
          </cell>
          <cell r="C60">
            <v>4600</v>
          </cell>
        </row>
        <row r="61">
          <cell r="A61" t="str">
            <v>Thompson Rivers University</v>
          </cell>
          <cell r="B61">
            <v>84172.74</v>
          </cell>
          <cell r="C61">
            <v>83300</v>
          </cell>
        </row>
        <row r="62">
          <cell r="A62" t="str">
            <v>Trinity Western University</v>
          </cell>
          <cell r="B62">
            <v>17000.349999999999</v>
          </cell>
          <cell r="C62">
            <v>16800</v>
          </cell>
        </row>
        <row r="63">
          <cell r="A63" t="str">
            <v>University of Alberta</v>
          </cell>
          <cell r="B63">
            <v>1735260.58</v>
          </cell>
          <cell r="C63">
            <v>1717900</v>
          </cell>
        </row>
        <row r="64">
          <cell r="A64" t="str">
            <v>University of British Columbia</v>
          </cell>
          <cell r="B64">
            <v>1982659.68</v>
          </cell>
          <cell r="C64">
            <v>1962800</v>
          </cell>
        </row>
        <row r="65">
          <cell r="A65" t="str">
            <v>University of Calgary</v>
          </cell>
          <cell r="B65">
            <v>953630.53</v>
          </cell>
          <cell r="C65">
            <v>944100</v>
          </cell>
        </row>
        <row r="66">
          <cell r="A66" t="str">
            <v>University of Lethbridge</v>
          </cell>
          <cell r="B66">
            <v>86621.51</v>
          </cell>
          <cell r="C66">
            <v>85800</v>
          </cell>
        </row>
        <row r="67">
          <cell r="A67" t="str">
            <v>University of Manitoba</v>
          </cell>
          <cell r="B67">
            <v>968603.38</v>
          </cell>
          <cell r="C67">
            <v>958900</v>
          </cell>
        </row>
        <row r="68">
          <cell r="A68" t="str">
            <v>University of Northern British Columbia</v>
          </cell>
          <cell r="B68">
            <v>148180.28</v>
          </cell>
          <cell r="C68">
            <v>146700</v>
          </cell>
        </row>
        <row r="69">
          <cell r="A69" t="str">
            <v>University of Regina</v>
          </cell>
          <cell r="B69">
            <v>313173.59000000003</v>
          </cell>
          <cell r="C69">
            <v>310000</v>
          </cell>
        </row>
        <row r="70">
          <cell r="A70" t="str">
            <v>University of Saskatchewan</v>
          </cell>
          <cell r="B70">
            <v>1038095.78</v>
          </cell>
          <cell r="C70">
            <v>1027700</v>
          </cell>
        </row>
        <row r="71">
          <cell r="A71" t="str">
            <v>University of the Fraser Valley</v>
          </cell>
          <cell r="B71">
            <v>74308.100000000006</v>
          </cell>
          <cell r="C71">
            <v>73600</v>
          </cell>
        </row>
        <row r="72">
          <cell r="A72" t="str">
            <v>University of Victoria</v>
          </cell>
          <cell r="B72">
            <v>647406.97</v>
          </cell>
          <cell r="C72">
            <v>640900</v>
          </cell>
        </row>
        <row r="73">
          <cell r="A73" t="str">
            <v>University of Winnipeg</v>
          </cell>
          <cell r="B73">
            <v>99333.67</v>
          </cell>
          <cell r="C73">
            <v>98300</v>
          </cell>
        </row>
        <row r="74">
          <cell r="A74" t="str">
            <v>Vancouver Island University</v>
          </cell>
          <cell r="B74">
            <v>84617.45</v>
          </cell>
          <cell r="C74">
            <v>83800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#2"/>
      <sheetName val="Template"/>
      <sheetName val="Data"/>
    </sheetNames>
    <sheetDataSet>
      <sheetData sheetId="0"/>
      <sheetData sheetId="1"/>
      <sheetData sheetId="2">
        <row r="4">
          <cell r="A4" t="str">
            <v>Drop Member List BELOW ROW 4 in this Column</v>
          </cell>
          <cell r="B4" t="str">
            <v>Drop dollar amounts BELOW ROW 4 in these columns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MEMBER</v>
          </cell>
          <cell r="B5" t="str">
            <v>Estimated</v>
          </cell>
          <cell r="C5" t="str">
            <v>Schedule 2 Actual</v>
          </cell>
          <cell r="D5" t="str">
            <v>Column 4</v>
          </cell>
          <cell r="E5" t="str">
            <v>Column 5</v>
          </cell>
          <cell r="F5" t="str">
            <v>Column 6</v>
          </cell>
          <cell r="G5" t="str">
            <v>Column 7</v>
          </cell>
          <cell r="H5" t="str">
            <v>Column 8</v>
          </cell>
          <cell r="I5" t="str">
            <v>Column 9</v>
          </cell>
          <cell r="J5" t="str">
            <v>Column 10</v>
          </cell>
          <cell r="K5" t="str">
            <v>Column 11</v>
          </cell>
          <cell r="L5" t="str">
            <v>Column 12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Acadia University</v>
          </cell>
          <cell r="B7">
            <v>26800</v>
          </cell>
          <cell r="C7">
            <v>26800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Cape Breton University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Dalhousie University</v>
          </cell>
          <cell r="B9">
            <v>209100</v>
          </cell>
          <cell r="C9">
            <v>209100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Dalhousie's Agricultural Campus (formerly NSAC)</v>
          </cell>
          <cell r="B10">
            <v>7100</v>
          </cell>
          <cell r="C10">
            <v>7100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Memorial University of Newfoundland</v>
          </cell>
          <cell r="B11">
            <v>215700</v>
          </cell>
          <cell r="C11">
            <v>215700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Mount Allison University</v>
          </cell>
          <cell r="B12">
            <v>13200</v>
          </cell>
          <cell r="C12">
            <v>13200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Mount Saint Vincent University</v>
          </cell>
          <cell r="B13">
            <v>22900</v>
          </cell>
          <cell r="C13">
            <v>22900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NSCAD University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Saint Mary's University</v>
          </cell>
          <cell r="B15">
            <v>35400</v>
          </cell>
          <cell r="C15">
            <v>35400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St. Francis Xavier University</v>
          </cell>
          <cell r="B16">
            <v>36800</v>
          </cell>
          <cell r="C16">
            <v>36800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Université de Moncton</v>
          </cell>
          <cell r="B17">
            <v>46800</v>
          </cell>
          <cell r="C17">
            <v>46800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Université Sainte-Anne</v>
          </cell>
          <cell r="B18">
            <v>2600</v>
          </cell>
          <cell r="C18">
            <v>2600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University of New Brunswick</v>
          </cell>
          <cell r="B19">
            <v>127400</v>
          </cell>
          <cell r="C19">
            <v>127400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University of Prince Edward Island</v>
          </cell>
          <cell r="B20">
            <v>25500</v>
          </cell>
          <cell r="C20">
            <v>25500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>
            <v>0</v>
          </cell>
          <cell r="B21">
            <v>769300</v>
          </cell>
          <cell r="C21">
            <v>769300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QUEBEC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Bishop's University</v>
          </cell>
          <cell r="B24">
            <v>17700</v>
          </cell>
          <cell r="C24">
            <v>17700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Concordia University</v>
          </cell>
          <cell r="B25">
            <v>159900</v>
          </cell>
          <cell r="C25">
            <v>159900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École Polytechnique de Montréal</v>
          </cell>
          <cell r="B26">
            <v>56100</v>
          </cell>
          <cell r="C26">
            <v>56100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HEC Montréal</v>
          </cell>
          <cell r="B27">
            <v>8900</v>
          </cell>
          <cell r="C27">
            <v>8900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McGill University</v>
          </cell>
          <cell r="B28">
            <v>412400</v>
          </cell>
          <cell r="C28">
            <v>412400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Université de Montréal</v>
          </cell>
          <cell r="B29">
            <v>502100</v>
          </cell>
          <cell r="C29">
            <v>502100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Université de Sherbrooke</v>
          </cell>
          <cell r="B30">
            <v>160000</v>
          </cell>
          <cell r="C30">
            <v>160000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Université du Québec: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 xml:space="preserve">   École de technologie supérieure</v>
          </cell>
          <cell r="B32">
            <v>22100</v>
          </cell>
          <cell r="C32">
            <v>22100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 xml:space="preserve">   École nationale d'administration publique</v>
          </cell>
          <cell r="B33">
            <v>5000</v>
          </cell>
          <cell r="C33">
            <v>5000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 xml:space="preserve">   Institut national de la recherche scientifique</v>
          </cell>
          <cell r="B34">
            <v>28500</v>
          </cell>
          <cell r="C34">
            <v>28500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 xml:space="preserve">   Télé-université du Québec</v>
          </cell>
          <cell r="B35">
            <v>12100</v>
          </cell>
          <cell r="C35">
            <v>12100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 xml:space="preserve">   Université du Québec à Chicoutimi</v>
          </cell>
          <cell r="B36">
            <v>32800</v>
          </cell>
          <cell r="C36">
            <v>32800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 xml:space="preserve">   Université du Québec à Montréal</v>
          </cell>
          <cell r="B37">
            <v>165400</v>
          </cell>
          <cell r="C37">
            <v>165400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 xml:space="preserve">   Université du Québec à Rimouski</v>
          </cell>
          <cell r="B38">
            <v>24500</v>
          </cell>
          <cell r="C38">
            <v>24500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 xml:space="preserve">   Université du Québec à Trois-Rivières</v>
          </cell>
          <cell r="B39">
            <v>50700</v>
          </cell>
          <cell r="C39">
            <v>50700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 xml:space="preserve">   Université du Québec en Abitibi-Témiscamingue</v>
          </cell>
          <cell r="B40">
            <v>12800</v>
          </cell>
          <cell r="C40">
            <v>12800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 xml:space="preserve">   Université du Québec en Outaouais</v>
          </cell>
          <cell r="B41">
            <v>22200</v>
          </cell>
          <cell r="C41">
            <v>22200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Université Laval</v>
          </cell>
          <cell r="B42">
            <v>387500</v>
          </cell>
          <cell r="C42">
            <v>387500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2080700</v>
          </cell>
          <cell r="C43">
            <v>2080700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ONTARIO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Algoma University</v>
          </cell>
          <cell r="B46">
            <v>8300</v>
          </cell>
          <cell r="C46">
            <v>8300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Brock University</v>
          </cell>
          <cell r="B47">
            <v>88900</v>
          </cell>
          <cell r="C47">
            <v>88900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Carleton University</v>
          </cell>
          <cell r="B48">
            <v>137600</v>
          </cell>
          <cell r="C48">
            <v>137600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Lakehead University</v>
          </cell>
          <cell r="B49">
            <v>48000</v>
          </cell>
          <cell r="C49">
            <v>48000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Laurentian University</v>
          </cell>
          <cell r="B50">
            <v>52200</v>
          </cell>
          <cell r="C50">
            <v>52200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McMaster University</v>
          </cell>
          <cell r="B51">
            <v>389000</v>
          </cell>
          <cell r="C51">
            <v>389000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Nipissing University</v>
          </cell>
          <cell r="B52">
            <v>10700</v>
          </cell>
          <cell r="C52">
            <v>10700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OCAD University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Queen's University</v>
          </cell>
          <cell r="B54">
            <v>315900</v>
          </cell>
          <cell r="C54">
            <v>315900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Royal Military College of Canada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Ryerson University</v>
          </cell>
          <cell r="B56">
            <v>82600</v>
          </cell>
          <cell r="C56">
            <v>82600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Trent University</v>
          </cell>
          <cell r="B57">
            <v>41600</v>
          </cell>
          <cell r="C57">
            <v>41600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University of Guelph</v>
          </cell>
          <cell r="B58">
            <v>234900</v>
          </cell>
          <cell r="C58">
            <v>234900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University of Ontario Institute of Technology</v>
          </cell>
          <cell r="B59">
            <v>3500</v>
          </cell>
          <cell r="C59">
            <v>3500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University of Ottawa</v>
          </cell>
          <cell r="B60">
            <v>284300</v>
          </cell>
          <cell r="C60">
            <v>284300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University of Toronto</v>
          </cell>
          <cell r="B61">
            <v>987600</v>
          </cell>
          <cell r="C61">
            <v>987600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University of Waterloo</v>
          </cell>
          <cell r="B62">
            <v>342100</v>
          </cell>
          <cell r="C62">
            <v>342100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University of Windsor</v>
          </cell>
          <cell r="B63">
            <v>66200</v>
          </cell>
          <cell r="C63">
            <v>66200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Western University</v>
          </cell>
          <cell r="B64">
            <v>374700</v>
          </cell>
          <cell r="C64">
            <v>374700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Wilfrid Laurier University</v>
          </cell>
          <cell r="B65">
            <v>73700</v>
          </cell>
          <cell r="C65">
            <v>73700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York University</v>
          </cell>
          <cell r="B66">
            <v>344400</v>
          </cell>
          <cell r="C66">
            <v>344400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0</v>
          </cell>
          <cell r="B67">
            <v>3886200</v>
          </cell>
          <cell r="C67">
            <v>3886200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WESTERN REGION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Athabasca University</v>
          </cell>
          <cell r="B70">
            <v>18300</v>
          </cell>
          <cell r="C70">
            <v>18300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Brandon University</v>
          </cell>
          <cell r="B71">
            <v>20000</v>
          </cell>
          <cell r="C71">
            <v>20000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Concordia University College of Alberta</v>
          </cell>
          <cell r="B72">
            <v>10200</v>
          </cell>
          <cell r="C72">
            <v>10200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Kwantlen Polytechnic University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MacEwan University</v>
          </cell>
          <cell r="B74">
            <v>35200</v>
          </cell>
          <cell r="C74">
            <v>35200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Mount Royal University</v>
          </cell>
          <cell r="B75">
            <v>8200</v>
          </cell>
          <cell r="C75">
            <v>8200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Royal Roads University</v>
          </cell>
          <cell r="B76">
            <v>6800</v>
          </cell>
          <cell r="C76">
            <v>6800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Simon Fraser University</v>
          </cell>
          <cell r="B77">
            <v>194300</v>
          </cell>
          <cell r="C77">
            <v>194300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The King's University College (Alberta)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Thompson Rivers University</v>
          </cell>
          <cell r="B79">
            <v>45900</v>
          </cell>
          <cell r="C79">
            <v>45900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Trinity Western University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University of Alberta</v>
          </cell>
          <cell r="B81">
            <v>526900</v>
          </cell>
          <cell r="C81">
            <v>526900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University of British Columbia</v>
          </cell>
          <cell r="B82">
            <v>606600</v>
          </cell>
          <cell r="C82">
            <v>606600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University of Calgary</v>
          </cell>
          <cell r="B83">
            <v>300900</v>
          </cell>
          <cell r="C83">
            <v>300900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University of Lethbridge</v>
          </cell>
          <cell r="B84">
            <v>50100</v>
          </cell>
          <cell r="C84">
            <v>50100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University of Manitoba</v>
          </cell>
          <cell r="B85">
            <v>288000</v>
          </cell>
          <cell r="C85">
            <v>288000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University of Northern British Columbia</v>
          </cell>
          <cell r="B86">
            <v>51300</v>
          </cell>
          <cell r="C86">
            <v>51300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University of Regina</v>
          </cell>
          <cell r="B87">
            <v>85300</v>
          </cell>
          <cell r="C87">
            <v>85300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University of Saskatchewan</v>
          </cell>
          <cell r="B88">
            <v>297200</v>
          </cell>
          <cell r="C88">
            <v>297200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University of the Fraser Valley</v>
          </cell>
          <cell r="B89">
            <v>49700</v>
          </cell>
          <cell r="C89">
            <v>49700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University of Victoria</v>
          </cell>
          <cell r="B90">
            <v>210400</v>
          </cell>
          <cell r="C90">
            <v>210400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University of Winnipeg</v>
          </cell>
          <cell r="B91">
            <v>51100</v>
          </cell>
          <cell r="C91">
            <v>51100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Vancouver Island University</v>
          </cell>
          <cell r="B92">
            <v>39500</v>
          </cell>
          <cell r="C92">
            <v>39500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>
            <v>0</v>
          </cell>
          <cell r="B93">
            <v>2895900</v>
          </cell>
          <cell r="C93">
            <v>2895900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GRAND TOTAL</v>
          </cell>
          <cell r="B95">
            <v>9632100</v>
          </cell>
          <cell r="C95">
            <v>9632100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AD6B5-1C15-4C49-9930-1247606EB8B4}">
  <sheetPr>
    <pageSetUpPr fitToPage="1"/>
  </sheetPr>
  <dimension ref="A1:S171"/>
  <sheetViews>
    <sheetView tabSelected="1" zoomScale="80" zoomScaleNormal="80" workbookViewId="0">
      <pane xSplit="2" ySplit="21" topLeftCell="C22" activePane="bottomRight" state="frozen"/>
      <selection activeCell="M1" sqref="M1:AC67"/>
      <selection pane="topRight" activeCell="M1" sqref="M1:AC67"/>
      <selection pane="bottomLeft" activeCell="M1" sqref="M1:AC67"/>
      <selection pane="bottomRight" activeCell="Z43" sqref="Z43"/>
    </sheetView>
  </sheetViews>
  <sheetFormatPr defaultColWidth="9.140625" defaultRowHeight="12.75" x14ac:dyDescent="0.2"/>
  <cols>
    <col min="1" max="1" width="9.140625" style="2" customWidth="1"/>
    <col min="2" max="2" width="40.85546875" style="2" customWidth="1"/>
    <col min="3" max="3" width="13.85546875" style="2" customWidth="1"/>
    <col min="4" max="4" width="12.5703125" style="2" customWidth="1"/>
    <col min="5" max="5" width="12.5703125" style="134" hidden="1" customWidth="1"/>
    <col min="6" max="8" width="12.5703125" style="2" hidden="1" customWidth="1"/>
    <col min="9" max="12" width="12.5703125" style="2" customWidth="1"/>
    <col min="13" max="13" width="10.42578125" style="2" customWidth="1"/>
    <col min="14" max="14" width="12.5703125" style="2" customWidth="1"/>
    <col min="15" max="15" width="8.85546875" style="5" customWidth="1"/>
    <col min="16" max="16" width="8.7109375" style="6" customWidth="1"/>
    <col min="17" max="17" width="9.140625" style="4"/>
    <col min="18" max="19" width="9.140625" style="2" customWidth="1"/>
    <col min="20" max="16384" width="9.140625" style="2"/>
  </cols>
  <sheetData>
    <row r="1" spans="2:19" ht="15" customHeight="1" x14ac:dyDescent="0.25">
      <c r="B1" s="1" t="s">
        <v>0</v>
      </c>
      <c r="E1" s="3"/>
      <c r="F1" s="3"/>
      <c r="G1" s="3"/>
      <c r="H1" s="3"/>
      <c r="I1" s="3"/>
      <c r="J1" s="4"/>
      <c r="K1" s="4"/>
      <c r="L1" s="4"/>
      <c r="M1" s="4"/>
      <c r="N1" s="4"/>
    </row>
    <row r="2" spans="2:19" ht="15" customHeight="1" x14ac:dyDescent="0.25">
      <c r="B2" s="7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9" ht="31.5" customHeight="1" thickBot="1" x14ac:dyDescent="0.25">
      <c r="B3" s="8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</row>
    <row r="4" spans="2:19" ht="13.5" customHeight="1" x14ac:dyDescent="0.2">
      <c r="B4" s="9" t="s">
        <v>2</v>
      </c>
      <c r="C4" s="10" t="s">
        <v>3</v>
      </c>
      <c r="D4" s="11"/>
      <c r="E4" s="12" t="s">
        <v>4</v>
      </c>
      <c r="F4" s="13"/>
      <c r="G4" s="14" t="s">
        <v>5</v>
      </c>
      <c r="H4" s="12"/>
      <c r="I4" s="15" t="s">
        <v>6</v>
      </c>
      <c r="J4" s="16"/>
      <c r="K4" s="17" t="s">
        <v>7</v>
      </c>
      <c r="L4" s="17"/>
      <c r="M4" s="18" t="s">
        <v>8</v>
      </c>
      <c r="N4" s="18" t="s">
        <v>9</v>
      </c>
      <c r="O4" s="19" t="s">
        <v>10</v>
      </c>
      <c r="P4" s="20" t="s">
        <v>11</v>
      </c>
      <c r="Q4" s="21" t="s">
        <v>12</v>
      </c>
      <c r="R4" s="22" t="s">
        <v>13</v>
      </c>
      <c r="S4" s="23" t="s">
        <v>14</v>
      </c>
    </row>
    <row r="5" spans="2:19" ht="15.6" customHeight="1" x14ac:dyDescent="0.2">
      <c r="B5" s="24"/>
      <c r="C5" s="25"/>
      <c r="D5" s="26"/>
      <c r="E5" s="27"/>
      <c r="F5" s="28"/>
      <c r="G5" s="29"/>
      <c r="H5" s="27"/>
      <c r="I5" s="30"/>
      <c r="J5" s="31"/>
      <c r="K5" s="32"/>
      <c r="L5" s="32"/>
      <c r="M5" s="33"/>
      <c r="N5" s="33"/>
      <c r="O5" s="34"/>
      <c r="P5" s="35"/>
      <c r="Q5" s="36"/>
      <c r="R5" s="37"/>
      <c r="S5" s="38"/>
    </row>
    <row r="6" spans="2:19" ht="15.6" customHeight="1" x14ac:dyDescent="0.2">
      <c r="B6" s="24"/>
      <c r="C6" s="25"/>
      <c r="D6" s="26"/>
      <c r="E6" s="27"/>
      <c r="F6" s="28"/>
      <c r="G6" s="29"/>
      <c r="H6" s="27"/>
      <c r="I6" s="30"/>
      <c r="J6" s="31"/>
      <c r="K6" s="32"/>
      <c r="L6" s="32"/>
      <c r="M6" s="33"/>
      <c r="N6" s="33"/>
      <c r="O6" s="34"/>
      <c r="P6" s="35"/>
      <c r="Q6" s="36"/>
      <c r="R6" s="37"/>
      <c r="S6" s="38"/>
    </row>
    <row r="7" spans="2:19" ht="15.6" customHeight="1" x14ac:dyDescent="0.2">
      <c r="B7" s="39"/>
      <c r="C7" s="40" t="s">
        <v>15</v>
      </c>
      <c r="D7" s="41" t="s">
        <v>16</v>
      </c>
      <c r="E7" s="42"/>
      <c r="F7" s="43"/>
      <c r="G7" s="44"/>
      <c r="H7" s="42"/>
      <c r="I7" s="45" t="s">
        <v>15</v>
      </c>
      <c r="J7" s="41" t="s">
        <v>16</v>
      </c>
      <c r="K7" s="46" t="s">
        <v>15</v>
      </c>
      <c r="L7" s="47" t="s">
        <v>16</v>
      </c>
      <c r="M7" s="33"/>
      <c r="N7" s="33"/>
      <c r="O7" s="34"/>
      <c r="P7" s="35"/>
      <c r="Q7" s="36"/>
      <c r="R7" s="37"/>
      <c r="S7" s="38"/>
    </row>
    <row r="8" spans="2:19" ht="15.6" customHeight="1" x14ac:dyDescent="0.2">
      <c r="B8" s="39"/>
      <c r="C8" s="48">
        <f t="shared" ref="C8:C18" si="0">ROUND((C$101*(C$103^(ROW()-6.5))),2)</f>
        <v>318.7</v>
      </c>
      <c r="D8" s="49">
        <f t="shared" ref="D8:D20" si="1">ROUND(IF(0.5+LOG(C8/C$101,C$103)&lt;1,1,0.5+LOG(C8/C$101,C$103)),4)</f>
        <v>2</v>
      </c>
      <c r="E8" s="42"/>
      <c r="F8" s="43"/>
      <c r="G8" s="44"/>
      <c r="H8" s="42"/>
      <c r="I8" s="48">
        <f t="shared" ref="I8:I18" si="2">ROUND((I$101*(I$103^(ROW()-6.5))),2)</f>
        <v>823.38</v>
      </c>
      <c r="J8" s="50">
        <f t="shared" ref="J8:J20" si="3">ROUND(IF(0.5+LOG(I8/I$101,I$103)&lt;1,1,0.5+LOG(I8/I$101,I$103)),4)</f>
        <v>2</v>
      </c>
      <c r="K8" s="51">
        <f t="shared" ref="K8:K18" si="4">ROUND((K$101*(K$103^(ROW()-6.5))),3)</f>
        <v>68.912000000000006</v>
      </c>
      <c r="L8" s="52">
        <f t="shared" ref="L8:L20" si="5">ROUND(IF(0.5+LOG(K8/K$101,K$103)&lt;1,1,0.5+LOG(K8/K$101,K$103)),4)</f>
        <v>2</v>
      </c>
      <c r="M8" s="33"/>
      <c r="N8" s="33"/>
      <c r="O8" s="34"/>
      <c r="P8" s="35"/>
      <c r="Q8" s="36"/>
      <c r="R8" s="37"/>
      <c r="S8" s="38"/>
    </row>
    <row r="9" spans="2:19" s="54" customFormat="1" ht="15.6" customHeight="1" x14ac:dyDescent="0.2">
      <c r="B9" s="53"/>
      <c r="C9" s="48">
        <f t="shared" si="0"/>
        <v>647.25</v>
      </c>
      <c r="D9" s="49">
        <f t="shared" si="1"/>
        <v>3</v>
      </c>
      <c r="E9" s="42"/>
      <c r="F9" s="43"/>
      <c r="G9" s="44"/>
      <c r="H9" s="42"/>
      <c r="I9" s="48">
        <f t="shared" si="2"/>
        <v>1259.0899999999999</v>
      </c>
      <c r="J9" s="50">
        <f t="shared" si="3"/>
        <v>3</v>
      </c>
      <c r="K9" s="51">
        <f t="shared" si="4"/>
        <v>96.058000000000007</v>
      </c>
      <c r="L9" s="52">
        <f t="shared" si="5"/>
        <v>3</v>
      </c>
      <c r="M9" s="33"/>
      <c r="N9" s="33"/>
      <c r="O9" s="34"/>
      <c r="P9" s="35"/>
      <c r="Q9" s="36"/>
      <c r="R9" s="37"/>
      <c r="S9" s="38"/>
    </row>
    <row r="10" spans="2:19" s="54" customFormat="1" ht="15.6" customHeight="1" x14ac:dyDescent="0.2">
      <c r="B10" s="53"/>
      <c r="C10" s="48">
        <f t="shared" si="0"/>
        <v>1314.52</v>
      </c>
      <c r="D10" s="49">
        <f t="shared" si="1"/>
        <v>4</v>
      </c>
      <c r="E10" s="42"/>
      <c r="F10" s="43"/>
      <c r="G10" s="44"/>
      <c r="H10" s="42"/>
      <c r="I10" s="48">
        <f t="shared" si="2"/>
        <v>1925.36</v>
      </c>
      <c r="J10" s="50">
        <f t="shared" si="3"/>
        <v>4</v>
      </c>
      <c r="K10" s="51">
        <f t="shared" si="4"/>
        <v>133.89599999999999</v>
      </c>
      <c r="L10" s="52">
        <f t="shared" si="5"/>
        <v>4</v>
      </c>
      <c r="M10" s="33"/>
      <c r="N10" s="33"/>
      <c r="O10" s="34"/>
      <c r="P10" s="35"/>
      <c r="Q10" s="36"/>
      <c r="R10" s="37"/>
      <c r="S10" s="38"/>
    </row>
    <row r="11" spans="2:19" s="54" customFormat="1" ht="15.6" customHeight="1" x14ac:dyDescent="0.2">
      <c r="B11" s="53"/>
      <c r="C11" s="48">
        <f t="shared" si="0"/>
        <v>2669.68</v>
      </c>
      <c r="D11" s="49">
        <f t="shared" si="1"/>
        <v>5</v>
      </c>
      <c r="E11" s="42"/>
      <c r="F11" s="43"/>
      <c r="G11" s="44"/>
      <c r="H11" s="42"/>
      <c r="I11" s="48">
        <f t="shared" si="2"/>
        <v>2944.21</v>
      </c>
      <c r="J11" s="50">
        <f t="shared" si="3"/>
        <v>5</v>
      </c>
      <c r="K11" s="51">
        <f t="shared" si="4"/>
        <v>186.63900000000001</v>
      </c>
      <c r="L11" s="52">
        <f t="shared" si="5"/>
        <v>5</v>
      </c>
      <c r="M11" s="33"/>
      <c r="N11" s="33"/>
      <c r="O11" s="34"/>
      <c r="P11" s="35"/>
      <c r="Q11" s="36"/>
      <c r="R11" s="37"/>
      <c r="S11" s="38"/>
    </row>
    <row r="12" spans="2:19" s="54" customFormat="1" ht="15.6" customHeight="1" x14ac:dyDescent="0.2">
      <c r="B12" s="53"/>
      <c r="C12" s="48">
        <f t="shared" si="0"/>
        <v>5421.91</v>
      </c>
      <c r="D12" s="49">
        <f t="shared" si="1"/>
        <v>6</v>
      </c>
      <c r="E12" s="42"/>
      <c r="F12" s="43"/>
      <c r="G12" s="44"/>
      <c r="H12" s="42"/>
      <c r="I12" s="48">
        <f t="shared" si="2"/>
        <v>4502.22</v>
      </c>
      <c r="J12" s="50">
        <f t="shared" si="3"/>
        <v>6</v>
      </c>
      <c r="K12" s="51">
        <f t="shared" si="4"/>
        <v>260.15899999999999</v>
      </c>
      <c r="L12" s="52">
        <f t="shared" si="5"/>
        <v>6</v>
      </c>
      <c r="M12" s="33"/>
      <c r="N12" s="33"/>
      <c r="O12" s="34"/>
      <c r="P12" s="35"/>
      <c r="Q12" s="36"/>
      <c r="R12" s="37"/>
      <c r="S12" s="38"/>
    </row>
    <row r="13" spans="2:19" s="54" customFormat="1" ht="15.6" customHeight="1" x14ac:dyDescent="0.2">
      <c r="B13" s="53"/>
      <c r="C13" s="48">
        <f t="shared" si="0"/>
        <v>11011.45</v>
      </c>
      <c r="D13" s="49">
        <f t="shared" si="1"/>
        <v>7</v>
      </c>
      <c r="E13" s="42"/>
      <c r="F13" s="43"/>
      <c r="G13" s="44"/>
      <c r="H13" s="42"/>
      <c r="I13" s="48">
        <f t="shared" si="2"/>
        <v>6884.67</v>
      </c>
      <c r="J13" s="50">
        <f t="shared" si="3"/>
        <v>7</v>
      </c>
      <c r="K13" s="51">
        <f t="shared" si="4"/>
        <v>362.63799999999998</v>
      </c>
      <c r="L13" s="52">
        <f t="shared" si="5"/>
        <v>7</v>
      </c>
      <c r="M13" s="33"/>
      <c r="N13" s="33"/>
      <c r="O13" s="34"/>
      <c r="P13" s="35"/>
      <c r="Q13" s="36"/>
      <c r="R13" s="37"/>
      <c r="S13" s="38"/>
    </row>
    <row r="14" spans="2:19" s="54" customFormat="1" ht="15.6" customHeight="1" x14ac:dyDescent="0.2">
      <c r="B14" s="53"/>
      <c r="C14" s="48">
        <f t="shared" si="0"/>
        <v>22363.34</v>
      </c>
      <c r="D14" s="49">
        <f t="shared" si="1"/>
        <v>8</v>
      </c>
      <c r="E14" s="42"/>
      <c r="F14" s="43"/>
      <c r="G14" s="44"/>
      <c r="H14" s="42"/>
      <c r="I14" s="48">
        <f t="shared" si="2"/>
        <v>10527.86</v>
      </c>
      <c r="J14" s="50">
        <f t="shared" si="3"/>
        <v>8</v>
      </c>
      <c r="K14" s="51">
        <f t="shared" si="4"/>
        <v>505.48599999999999</v>
      </c>
      <c r="L14" s="52">
        <f t="shared" si="5"/>
        <v>8</v>
      </c>
      <c r="M14" s="33"/>
      <c r="N14" s="33"/>
      <c r="O14" s="34"/>
      <c r="P14" s="35"/>
      <c r="Q14" s="36"/>
      <c r="R14" s="37"/>
      <c r="S14" s="38"/>
    </row>
    <row r="15" spans="2:19" ht="15.6" customHeight="1" x14ac:dyDescent="0.2">
      <c r="B15" s="39"/>
      <c r="C15" s="48">
        <f t="shared" si="0"/>
        <v>45418.1</v>
      </c>
      <c r="D15" s="49">
        <f t="shared" si="1"/>
        <v>9</v>
      </c>
      <c r="E15" s="42"/>
      <c r="F15" s="43"/>
      <c r="G15" s="44"/>
      <c r="H15" s="42"/>
      <c r="I15" s="48">
        <f t="shared" si="2"/>
        <v>16098.94</v>
      </c>
      <c r="J15" s="50">
        <f t="shared" si="3"/>
        <v>9</v>
      </c>
      <c r="K15" s="51">
        <f t="shared" si="4"/>
        <v>704.60400000000004</v>
      </c>
      <c r="L15" s="52">
        <f t="shared" si="5"/>
        <v>9</v>
      </c>
      <c r="M15" s="33"/>
      <c r="N15" s="33"/>
      <c r="O15" s="34"/>
      <c r="P15" s="35"/>
      <c r="Q15" s="36"/>
      <c r="R15" s="37"/>
      <c r="S15" s="38"/>
    </row>
    <row r="16" spans="2:19" ht="15.6" customHeight="1" x14ac:dyDescent="0.2">
      <c r="B16" s="39"/>
      <c r="C16" s="48">
        <f t="shared" si="0"/>
        <v>92240.42</v>
      </c>
      <c r="D16" s="49">
        <f t="shared" si="1"/>
        <v>10</v>
      </c>
      <c r="E16" s="42"/>
      <c r="F16" s="43"/>
      <c r="G16" s="44"/>
      <c r="H16" s="42"/>
      <c r="I16" s="48">
        <f t="shared" si="2"/>
        <v>24618.080000000002</v>
      </c>
      <c r="J16" s="50">
        <f t="shared" si="3"/>
        <v>10</v>
      </c>
      <c r="K16" s="51">
        <f t="shared" si="4"/>
        <v>982.15599999999995</v>
      </c>
      <c r="L16" s="52">
        <f t="shared" si="5"/>
        <v>10</v>
      </c>
      <c r="M16" s="33"/>
      <c r="N16" s="33"/>
      <c r="O16" s="34"/>
      <c r="P16" s="35"/>
      <c r="Q16" s="36"/>
      <c r="R16" s="37"/>
      <c r="S16" s="38"/>
    </row>
    <row r="17" spans="1:19" ht="15.6" customHeight="1" x14ac:dyDescent="0.2">
      <c r="B17" s="39"/>
      <c r="C17" s="48">
        <f t="shared" si="0"/>
        <v>187332.69</v>
      </c>
      <c r="D17" s="49">
        <f t="shared" si="1"/>
        <v>11</v>
      </c>
      <c r="E17" s="42"/>
      <c r="F17" s="43"/>
      <c r="G17" s="44"/>
      <c r="H17" s="42"/>
      <c r="I17" s="48">
        <f t="shared" si="2"/>
        <v>37645.32</v>
      </c>
      <c r="J17" s="50">
        <f t="shared" si="3"/>
        <v>11</v>
      </c>
      <c r="K17" s="51">
        <f t="shared" si="4"/>
        <v>1369.039</v>
      </c>
      <c r="L17" s="52">
        <f t="shared" si="5"/>
        <v>11</v>
      </c>
      <c r="M17" s="33"/>
      <c r="N17" s="33"/>
      <c r="O17" s="34"/>
      <c r="P17" s="35"/>
      <c r="Q17" s="36"/>
      <c r="R17" s="37"/>
      <c r="S17" s="38"/>
    </row>
    <row r="18" spans="1:19" ht="12.75" customHeight="1" x14ac:dyDescent="0.2">
      <c r="A18" s="55"/>
      <c r="B18" s="56"/>
      <c r="C18" s="48">
        <f t="shared" si="0"/>
        <v>380457.26</v>
      </c>
      <c r="D18" s="49">
        <f t="shared" si="1"/>
        <v>12</v>
      </c>
      <c r="E18" s="42"/>
      <c r="F18" s="43"/>
      <c r="G18" s="44"/>
      <c r="H18" s="42"/>
      <c r="I18" s="48">
        <f t="shared" si="2"/>
        <v>57566.25</v>
      </c>
      <c r="J18" s="50">
        <f t="shared" si="3"/>
        <v>12</v>
      </c>
      <c r="K18" s="51">
        <f t="shared" si="4"/>
        <v>1908.32</v>
      </c>
      <c r="L18" s="52">
        <f t="shared" si="5"/>
        <v>12</v>
      </c>
      <c r="M18" s="33"/>
      <c r="N18" s="33"/>
      <c r="O18" s="34"/>
      <c r="P18" s="35"/>
      <c r="Q18" s="36"/>
      <c r="R18" s="37"/>
      <c r="S18" s="38"/>
    </row>
    <row r="19" spans="1:19" ht="12.75" customHeight="1" x14ac:dyDescent="0.2">
      <c r="A19" s="55"/>
      <c r="B19" s="57"/>
      <c r="C19" s="48">
        <f>ROUND((C$101*(C$103^(ROW()-6.5))),2)</f>
        <v>772677.36</v>
      </c>
      <c r="D19" s="49">
        <f t="shared" si="1"/>
        <v>13</v>
      </c>
      <c r="E19" s="42"/>
      <c r="F19" s="43"/>
      <c r="G19" s="44"/>
      <c r="H19" s="42"/>
      <c r="I19" s="48">
        <f>ROUND((I$101*(I$103^(ROW()-6.5))),2)</f>
        <v>88028.82</v>
      </c>
      <c r="J19" s="50">
        <f t="shared" si="3"/>
        <v>13</v>
      </c>
      <c r="K19" s="51">
        <f>ROUND((K$101*(K$103^(ROW()-6.5))),3)</f>
        <v>2660.0309999999999</v>
      </c>
      <c r="L19" s="52">
        <f t="shared" si="5"/>
        <v>13</v>
      </c>
      <c r="M19" s="33"/>
      <c r="N19" s="33"/>
      <c r="O19" s="34"/>
      <c r="P19" s="35"/>
      <c r="Q19" s="36"/>
      <c r="R19" s="37"/>
      <c r="S19" s="38"/>
    </row>
    <row r="20" spans="1:19" ht="12.75" customHeight="1" x14ac:dyDescent="0.2">
      <c r="A20" s="55"/>
      <c r="B20" s="57"/>
      <c r="C20" s="48">
        <f>ROUND((C$101*(C$103^(ROW()-6.5))),2)</f>
        <v>1569244.07</v>
      </c>
      <c r="D20" s="49">
        <f t="shared" si="1"/>
        <v>14</v>
      </c>
      <c r="E20" s="42"/>
      <c r="F20" s="43"/>
      <c r="G20" s="44"/>
      <c r="H20" s="42"/>
      <c r="I20" s="48">
        <f>ROUND((I$101*(I$103^(ROW()-6.5))),2)</f>
        <v>134611.39000000001</v>
      </c>
      <c r="J20" s="50">
        <f t="shared" si="3"/>
        <v>14</v>
      </c>
      <c r="K20" s="51">
        <f>ROUND((K$101*(K$103^(ROW()-6.5))),3)</f>
        <v>3707.8510000000001</v>
      </c>
      <c r="L20" s="52">
        <f t="shared" si="5"/>
        <v>14</v>
      </c>
      <c r="M20" s="33"/>
      <c r="N20" s="33"/>
      <c r="O20" s="34"/>
      <c r="P20" s="35"/>
      <c r="Q20" s="36"/>
      <c r="R20" s="37"/>
      <c r="S20" s="38"/>
    </row>
    <row r="21" spans="1:19" ht="13.5" customHeight="1" thickBot="1" x14ac:dyDescent="0.25">
      <c r="B21" s="58"/>
      <c r="C21" s="59" t="s">
        <v>17</v>
      </c>
      <c r="D21" s="60" t="s">
        <v>16</v>
      </c>
      <c r="E21" s="61"/>
      <c r="F21" s="62" t="s">
        <v>18</v>
      </c>
      <c r="G21" s="63"/>
      <c r="H21" s="64" t="s">
        <v>18</v>
      </c>
      <c r="I21" s="65"/>
      <c r="J21" s="60" t="s">
        <v>16</v>
      </c>
      <c r="K21" s="66"/>
      <c r="L21" s="64" t="s">
        <v>16</v>
      </c>
      <c r="M21" s="33"/>
      <c r="N21" s="67"/>
      <c r="O21" s="34"/>
      <c r="P21" s="68"/>
      <c r="Q21" s="69"/>
      <c r="R21" s="70"/>
      <c r="S21" s="71"/>
    </row>
    <row r="22" spans="1:19" ht="13.35" customHeight="1" x14ac:dyDescent="0.2">
      <c r="A22" s="72"/>
      <c r="B22" s="73" t="s">
        <v>19</v>
      </c>
      <c r="C22" s="74">
        <f>VLOOKUP(B22,[1]SponsoredResearch!$B$7:$L$81,11,FALSE)</f>
        <v>417</v>
      </c>
      <c r="D22" s="75">
        <f t="shared" ref="D22:D85" si="6">ROUND(IF(0.5+LOG(C22/C$101,C$103)&lt;1,1,0.5+LOG(C22/C$101,C$103)),4)</f>
        <v>2.3794</v>
      </c>
      <c r="E22" s="76">
        <f>390+(40/3.5)</f>
        <v>401.42857142857144</v>
      </c>
      <c r="F22" s="77">
        <f t="shared" ref="F22:F85" si="7">E22/E$98</f>
        <v>4.5610352543677999E-4</v>
      </c>
      <c r="G22" s="78">
        <v>0</v>
      </c>
      <c r="H22" s="77">
        <f t="shared" ref="H22:H85" si="8">G22/G$98</f>
        <v>0</v>
      </c>
      <c r="I22" s="78">
        <f>SUMIF('[1]UC Enrolment Data'!$A$3:$A$90,B22,'[1]UC Enrolment Data'!$T$3:$T$90)</f>
        <v>465.66666666666669</v>
      </c>
      <c r="J22" s="75">
        <f t="shared" ref="J22:J85" si="9">ROUND(IF(0.5+LOG(I22/I$101,I$103)&lt;1,1,0.5+LOG(I22/I$101,I$103)),4)</f>
        <v>1</v>
      </c>
      <c r="K22" s="78">
        <f>VLOOKUP(B22,[1]Faculty!$B$7:$K$81,10,FALSE)</f>
        <v>41</v>
      </c>
      <c r="L22" s="79">
        <f t="shared" ref="L22:L85" si="10">ROUND(IF(0.5+LOG(K22/K$101,K$103)&lt;1,1,0.5+LOG(K22/K$101,K$103)),4)</f>
        <v>1</v>
      </c>
      <c r="M22" s="80">
        <f>ROUND((D22+J22+L22)/3,0)</f>
        <v>1</v>
      </c>
      <c r="N22" s="81">
        <f>(D22+J22+L22)/3</f>
        <v>1.4598000000000002</v>
      </c>
      <c r="O22" s="82">
        <v>1</v>
      </c>
      <c r="P22" s="83">
        <v>1</v>
      </c>
      <c r="Q22" s="84">
        <v>1</v>
      </c>
      <c r="R22" s="85">
        <v>1</v>
      </c>
      <c r="S22" s="86">
        <v>1</v>
      </c>
    </row>
    <row r="23" spans="1:19" ht="13.35" customHeight="1" x14ac:dyDescent="0.2">
      <c r="A23" s="72"/>
      <c r="B23" s="73" t="s">
        <v>20</v>
      </c>
      <c r="C23" s="74">
        <f>VLOOKUP(B23,[1]SponsoredResearch!$B$7:$L$81,11,FALSE)</f>
        <v>270</v>
      </c>
      <c r="D23" s="75">
        <f t="shared" si="6"/>
        <v>1.7659</v>
      </c>
      <c r="E23" s="76">
        <f>630+(40/3.5)</f>
        <v>641.42857142857144</v>
      </c>
      <c r="F23" s="77">
        <f t="shared" si="7"/>
        <v>7.2879175416766626E-4</v>
      </c>
      <c r="G23" s="78">
        <v>0</v>
      </c>
      <c r="H23" s="77">
        <f t="shared" si="8"/>
        <v>0</v>
      </c>
      <c r="I23" s="78">
        <f>SUMIF('[1]UC Enrolment Data'!$A$3:$A$90,B23,'[1]UC Enrolment Data'!$T$3:$T$90)</f>
        <v>804.7619047619047</v>
      </c>
      <c r="J23" s="75">
        <f t="shared" si="9"/>
        <v>1.9461999999999999</v>
      </c>
      <c r="K23" s="78">
        <f>VLOOKUP(B23,[1]Faculty!$B$7:$K$81,10,FALSE)</f>
        <v>47</v>
      </c>
      <c r="L23" s="79">
        <f t="shared" si="10"/>
        <v>1</v>
      </c>
      <c r="M23" s="87">
        <f t="shared" ref="M23:M86" si="11">ROUND((D23+J23+L23)/3,0)</f>
        <v>2</v>
      </c>
      <c r="N23" s="81">
        <f t="shared" ref="N23:N86" si="12">(D23+J23+L23)/3</f>
        <v>1.5706999999999998</v>
      </c>
      <c r="O23" s="88">
        <v>2</v>
      </c>
      <c r="P23" s="83">
        <v>2</v>
      </c>
      <c r="Q23" s="84">
        <v>2</v>
      </c>
      <c r="R23" s="85">
        <v>1</v>
      </c>
      <c r="S23" s="86">
        <v>1</v>
      </c>
    </row>
    <row r="24" spans="1:19" ht="13.35" customHeight="1" x14ac:dyDescent="0.2">
      <c r="A24" s="72"/>
      <c r="B24" s="73" t="s">
        <v>21</v>
      </c>
      <c r="C24" s="74">
        <f>VLOOKUP(B24,[1]SponsoredResearch!$B$7:$L$81,11,FALSE)</f>
        <v>447</v>
      </c>
      <c r="D24" s="75">
        <f t="shared" si="6"/>
        <v>2.4775</v>
      </c>
      <c r="E24" s="76">
        <f>(790)+(190/3.5)</f>
        <v>844.28571428571433</v>
      </c>
      <c r="F24" s="77">
        <f t="shared" si="7"/>
        <v>9.5927823321401064E-4</v>
      </c>
      <c r="G24" s="78">
        <v>30</v>
      </c>
      <c r="H24" s="77">
        <f t="shared" si="8"/>
        <v>1.9100476693325474E-4</v>
      </c>
      <c r="I24" s="78">
        <f>SUMIF('[1]UC Enrolment Data'!$A$3:$A$90,B24,'[1]UC Enrolment Data'!$T$3:$T$90)</f>
        <v>788.33333333333337</v>
      </c>
      <c r="J24" s="75">
        <f t="shared" si="9"/>
        <v>1.8976</v>
      </c>
      <c r="K24" s="78">
        <f>VLOOKUP(B24,[1]Faculty!$B$7:$K$81,10,FALSE)</f>
        <v>47</v>
      </c>
      <c r="L24" s="79">
        <f t="shared" si="10"/>
        <v>1</v>
      </c>
      <c r="M24" s="87">
        <f t="shared" si="11"/>
        <v>2</v>
      </c>
      <c r="N24" s="81">
        <f t="shared" si="12"/>
        <v>1.7916999999999998</v>
      </c>
      <c r="O24" s="88">
        <v>2</v>
      </c>
      <c r="P24" s="83">
        <v>2</v>
      </c>
      <c r="Q24" s="84">
        <v>2</v>
      </c>
      <c r="R24" s="85">
        <v>2</v>
      </c>
      <c r="S24" s="86">
        <v>2</v>
      </c>
    </row>
    <row r="25" spans="1:19" ht="13.35" customHeight="1" x14ac:dyDescent="0.2">
      <c r="A25" s="72"/>
      <c r="B25" s="73" t="s">
        <v>22</v>
      </c>
      <c r="C25" s="74">
        <f>VLOOKUP(B25,[1]SponsoredResearch!$B$7:$L$81,11,FALSE)</f>
        <v>128</v>
      </c>
      <c r="D25" s="75">
        <f t="shared" si="6"/>
        <v>1</v>
      </c>
      <c r="E25" s="76">
        <f>(1270)+((130)/3.5)</f>
        <v>1307.1428571428571</v>
      </c>
      <c r="F25" s="77">
        <f t="shared" si="7"/>
        <v>1.4851769600521484E-3</v>
      </c>
      <c r="G25" s="78">
        <f>30+(30/3.5)</f>
        <v>38.571428571428569</v>
      </c>
      <c r="H25" s="77">
        <f t="shared" si="8"/>
        <v>2.455775574856132E-4</v>
      </c>
      <c r="I25" s="78">
        <f>SUMIF('[1]UC Enrolment Data'!$A$3:$A$90,B25,'[1]UC Enrolment Data'!$T$3:$T$90)</f>
        <v>2279.1428571428573</v>
      </c>
      <c r="J25" s="75">
        <f t="shared" si="9"/>
        <v>4.3971999999999998</v>
      </c>
      <c r="K25" s="78">
        <f>VLOOKUP(B25,[1]Faculty!$B$7:$K$81,10,FALSE)</f>
        <v>61</v>
      </c>
      <c r="L25" s="79">
        <f t="shared" si="10"/>
        <v>1.6328</v>
      </c>
      <c r="M25" s="87">
        <f t="shared" si="11"/>
        <v>2</v>
      </c>
      <c r="N25" s="81">
        <f t="shared" si="12"/>
        <v>2.3433333333333333</v>
      </c>
      <c r="O25" s="88">
        <v>2</v>
      </c>
      <c r="P25" s="83">
        <v>2</v>
      </c>
      <c r="Q25" s="84">
        <v>2</v>
      </c>
      <c r="R25" s="85">
        <v>2</v>
      </c>
      <c r="S25" s="86">
        <v>2</v>
      </c>
    </row>
    <row r="26" spans="1:19" ht="13.35" customHeight="1" x14ac:dyDescent="0.2">
      <c r="A26" s="89"/>
      <c r="B26" s="2" t="s">
        <v>23</v>
      </c>
      <c r="C26" s="74">
        <f>VLOOKUP(B26,[1]SponsoredResearch!$B$7:$L$81,11,FALSE)</f>
        <v>895</v>
      </c>
      <c r="D26" s="75">
        <f t="shared" si="6"/>
        <v>3.4573999999999998</v>
      </c>
      <c r="E26" s="76">
        <f>900+(350/3.5)</f>
        <v>1000</v>
      </c>
      <c r="F26" s="77">
        <f t="shared" si="7"/>
        <v>1.1362009530453594E-3</v>
      </c>
      <c r="G26" s="78">
        <v>0</v>
      </c>
      <c r="H26" s="77">
        <f t="shared" si="8"/>
        <v>0</v>
      </c>
      <c r="I26" s="78">
        <f>SUMIF('[1]UC Enrolment Data'!$A$3:$A$90,B26,'[1]UC Enrolment Data'!$T$3:$T$90)</f>
        <v>1116.1904761904761</v>
      </c>
      <c r="J26" s="75">
        <f t="shared" si="9"/>
        <v>2.7164000000000001</v>
      </c>
      <c r="K26" s="78">
        <f>VLOOKUP(B26,[1]Faculty!$B$7:$K$81,10,FALSE)</f>
        <v>44</v>
      </c>
      <c r="L26" s="79">
        <f t="shared" si="10"/>
        <v>1</v>
      </c>
      <c r="M26" s="87">
        <f t="shared" si="11"/>
        <v>2</v>
      </c>
      <c r="N26" s="81">
        <f t="shared" si="12"/>
        <v>2.3912666666666667</v>
      </c>
      <c r="O26" s="88">
        <v>2</v>
      </c>
      <c r="P26" s="83">
        <v>3</v>
      </c>
      <c r="Q26" s="84">
        <v>3</v>
      </c>
      <c r="R26" s="85">
        <v>3</v>
      </c>
      <c r="S26" s="86">
        <v>3</v>
      </c>
    </row>
    <row r="27" spans="1:19" x14ac:dyDescent="0.2">
      <c r="A27" s="90"/>
      <c r="B27" s="91" t="s">
        <v>24</v>
      </c>
      <c r="C27" s="74">
        <f>VLOOKUP(B27,[1]SponsoredResearch!$B$7:$L$81,11,FALSE)</f>
        <v>3311</v>
      </c>
      <c r="D27" s="75">
        <f t="shared" si="6"/>
        <v>5.3038999999999996</v>
      </c>
      <c r="E27" s="76">
        <v>0</v>
      </c>
      <c r="F27" s="77">
        <f t="shared" si="7"/>
        <v>0</v>
      </c>
      <c r="G27" s="78">
        <f>460+(1520/3.5)</f>
        <v>894.28571428571422</v>
      </c>
      <c r="H27" s="77">
        <f t="shared" si="8"/>
        <v>5.6937611476294029E-3</v>
      </c>
      <c r="I27" s="78">
        <f>SUMIF('[1]UC Enrolment Data'!$A$3:$A$90,B27,'[1]UC Enrolment Data'!$T$3:$T$90)</f>
        <v>708.95238095238085</v>
      </c>
      <c r="J27" s="75">
        <f t="shared" si="9"/>
        <v>1.6476999999999999</v>
      </c>
      <c r="K27" s="78">
        <f>VLOOKUP(B27,[1]Faculty!$B$7:$K$81,10,FALSE)</f>
        <v>44</v>
      </c>
      <c r="L27" s="79">
        <f t="shared" si="10"/>
        <v>1</v>
      </c>
      <c r="M27" s="87">
        <f>ROUND((D27+J27+L27)/3,0)</f>
        <v>3</v>
      </c>
      <c r="N27" s="81">
        <f t="shared" si="12"/>
        <v>2.6505333333333332</v>
      </c>
      <c r="O27" s="88">
        <v>3</v>
      </c>
      <c r="P27" s="83">
        <v>3</v>
      </c>
      <c r="Q27" s="84">
        <v>3</v>
      </c>
      <c r="R27" s="85">
        <v>3</v>
      </c>
      <c r="S27" s="86">
        <v>3</v>
      </c>
    </row>
    <row r="28" spans="1:19" x14ac:dyDescent="0.2">
      <c r="A28" s="72"/>
      <c r="B28" s="73" t="s">
        <v>25</v>
      </c>
      <c r="C28" s="74">
        <f>VLOOKUP(B28,[1]SponsoredResearch!$B$7:$L$81,11,FALSE)</f>
        <v>2047</v>
      </c>
      <c r="D28" s="75">
        <f t="shared" si="6"/>
        <v>4.6250999999999998</v>
      </c>
      <c r="E28" s="76">
        <f>1170</f>
        <v>1170</v>
      </c>
      <c r="F28" s="77">
        <f t="shared" si="7"/>
        <v>1.3293551150630706E-3</v>
      </c>
      <c r="G28" s="78">
        <v>3500</v>
      </c>
      <c r="H28" s="77">
        <f t="shared" si="8"/>
        <v>2.2283889475546385E-2</v>
      </c>
      <c r="I28" s="78">
        <f>SUMIF('[1]UC Enrolment Data'!$A$3:$A$90,B28,'[1]UC Enrolment Data'!$T$3:$T$90)</f>
        <v>4065.3333333333335</v>
      </c>
      <c r="J28" s="75">
        <f t="shared" si="9"/>
        <v>5.7596999999999996</v>
      </c>
      <c r="K28" s="78">
        <f>VLOOKUP(B28,[1]Faculty!$B$7:$K$81,10,FALSE)</f>
        <v>53</v>
      </c>
      <c r="L28" s="79">
        <f t="shared" si="10"/>
        <v>1.2095</v>
      </c>
      <c r="M28" s="87">
        <f t="shared" si="11"/>
        <v>4</v>
      </c>
      <c r="N28" s="81">
        <f t="shared" si="12"/>
        <v>3.8647666666666662</v>
      </c>
      <c r="O28" s="88">
        <v>4</v>
      </c>
      <c r="P28" s="83">
        <v>4</v>
      </c>
      <c r="Q28" s="84">
        <v>4</v>
      </c>
      <c r="R28" s="85">
        <v>4</v>
      </c>
      <c r="S28" s="86">
        <v>4</v>
      </c>
    </row>
    <row r="29" spans="1:19" x14ac:dyDescent="0.2">
      <c r="A29" s="72"/>
      <c r="B29" s="73" t="s">
        <v>26</v>
      </c>
      <c r="C29" s="74">
        <f>VLOOKUP(B29,[1]SponsoredResearch!$B$7:$L$81,11,FALSE)</f>
        <v>3307</v>
      </c>
      <c r="D29" s="75">
        <f t="shared" si="6"/>
        <v>5.3022</v>
      </c>
      <c r="E29" s="76">
        <f>18000/3.5</f>
        <v>5142.8571428571431</v>
      </c>
      <c r="F29" s="77">
        <f t="shared" si="7"/>
        <v>5.84331918709042E-3</v>
      </c>
      <c r="G29" s="78">
        <v>0</v>
      </c>
      <c r="H29" s="77">
        <f t="shared" si="8"/>
        <v>0</v>
      </c>
      <c r="I29" s="78">
        <f>SUMIF('[1]UC Enrolment Data'!$A$3:$A$90,B29,'[1]UC Enrolment Data'!$T$3:$T$90)</f>
        <v>1530.7142857142858</v>
      </c>
      <c r="J29" s="75">
        <f t="shared" si="9"/>
        <v>3.4599000000000002</v>
      </c>
      <c r="K29" s="78">
        <f>VLOOKUP(B29,[1]Faculty!$B$7:$K$81,10,FALSE)</f>
        <v>73</v>
      </c>
      <c r="L29" s="79">
        <f t="shared" si="10"/>
        <v>2.1735000000000002</v>
      </c>
      <c r="M29" s="87">
        <f t="shared" si="11"/>
        <v>4</v>
      </c>
      <c r="N29" s="81">
        <f t="shared" si="12"/>
        <v>3.6452000000000004</v>
      </c>
      <c r="O29" s="88">
        <v>4</v>
      </c>
      <c r="P29" s="83">
        <v>4</v>
      </c>
      <c r="Q29" s="84">
        <v>4</v>
      </c>
      <c r="R29" s="85">
        <v>4</v>
      </c>
      <c r="S29" s="86">
        <v>5</v>
      </c>
    </row>
    <row r="30" spans="1:19" x14ac:dyDescent="0.2">
      <c r="A30" s="72"/>
      <c r="B30" s="73" t="s">
        <v>27</v>
      </c>
      <c r="C30" s="74">
        <f>VLOOKUP(B30,[1]SponsoredResearch!$B$7:$L$81,11,FALSE)</f>
        <v>1594</v>
      </c>
      <c r="D30" s="75">
        <f t="shared" si="6"/>
        <v>4.2721</v>
      </c>
      <c r="E30" s="76">
        <f>(1690)+(190/3.5)</f>
        <v>1744.2857142857142</v>
      </c>
      <c r="F30" s="77">
        <f t="shared" si="7"/>
        <v>1.9818590909548338E-3</v>
      </c>
      <c r="G30" s="78">
        <v>310</v>
      </c>
      <c r="H30" s="77">
        <f t="shared" si="8"/>
        <v>1.9737159249769657E-3</v>
      </c>
      <c r="I30" s="78">
        <f>SUMIF('[1]UC Enrolment Data'!$A$3:$A$90,B30,'[1]UC Enrolment Data'!$T$3:$T$90)</f>
        <v>3447.7619047619046</v>
      </c>
      <c r="J30" s="75">
        <f t="shared" si="9"/>
        <v>5.3716999999999997</v>
      </c>
      <c r="K30" s="78">
        <f>VLOOKUP(B30,[1]Faculty!$B$7:$K$81,10,FALSE)</f>
        <v>106</v>
      </c>
      <c r="L30" s="79">
        <f t="shared" si="10"/>
        <v>3.2966000000000002</v>
      </c>
      <c r="M30" s="87">
        <f t="shared" si="11"/>
        <v>4</v>
      </c>
      <c r="N30" s="81">
        <f t="shared" si="12"/>
        <v>4.3134666666666659</v>
      </c>
      <c r="O30" s="88">
        <v>4</v>
      </c>
      <c r="P30" s="83">
        <v>4</v>
      </c>
      <c r="Q30" s="84">
        <v>4</v>
      </c>
      <c r="R30" s="85">
        <v>4</v>
      </c>
      <c r="S30" s="86">
        <v>4</v>
      </c>
    </row>
    <row r="31" spans="1:19" x14ac:dyDescent="0.2">
      <c r="A31" s="72"/>
      <c r="B31" s="73" t="s">
        <v>28</v>
      </c>
      <c r="C31" s="74">
        <f>VLOOKUP(B31,[1]SponsoredResearch!$B$7:$L$81,11,FALSE)</f>
        <v>1379</v>
      </c>
      <c r="D31" s="75">
        <f t="shared" si="6"/>
        <v>4.0675999999999997</v>
      </c>
      <c r="E31" s="76">
        <f>(2260)+((460)/3.5)</f>
        <v>2391.4285714285716</v>
      </c>
      <c r="F31" s="77">
        <f t="shared" si="7"/>
        <v>2.7171434219970454E-3</v>
      </c>
      <c r="G31" s="78">
        <f>10+(30/3.5)</f>
        <v>18.571428571428569</v>
      </c>
      <c r="H31" s="77">
        <f t="shared" si="8"/>
        <v>1.1824104619677673E-4</v>
      </c>
      <c r="I31" s="78">
        <f>SUMIF('[1]UC Enrolment Data'!$A$3:$A$90,B31,'[1]UC Enrolment Data'!$T$3:$T$90)</f>
        <v>2702.3333333333335</v>
      </c>
      <c r="J31" s="75">
        <f t="shared" si="9"/>
        <v>4.7981999999999996</v>
      </c>
      <c r="K31" s="78">
        <f>VLOOKUP(B31,[1]Faculty!$B$7:$K$81,10,FALSE)</f>
        <v>112.33333333333333</v>
      </c>
      <c r="L31" s="79">
        <f t="shared" si="10"/>
        <v>3.4712999999999998</v>
      </c>
      <c r="M31" s="87">
        <f t="shared" si="11"/>
        <v>4</v>
      </c>
      <c r="N31" s="81">
        <f t="shared" si="12"/>
        <v>4.1123666666666665</v>
      </c>
      <c r="O31" s="88">
        <v>4</v>
      </c>
      <c r="P31" s="83">
        <v>4</v>
      </c>
      <c r="Q31" s="84">
        <v>4</v>
      </c>
      <c r="R31" s="85">
        <v>4</v>
      </c>
      <c r="S31" s="86">
        <v>4</v>
      </c>
    </row>
    <row r="32" spans="1:19" x14ac:dyDescent="0.2">
      <c r="A32" s="72"/>
      <c r="B32" s="73" t="s">
        <v>29</v>
      </c>
      <c r="C32" s="74">
        <f>VLOOKUP(B32,[1]SponsoredResearch!$B$7:$L$81,11,FALSE)</f>
        <v>2685</v>
      </c>
      <c r="D32" s="75">
        <f t="shared" si="6"/>
        <v>5.0080999999999998</v>
      </c>
      <c r="E32" s="76">
        <f>(2270)+((630)/3.5)</f>
        <v>2450</v>
      </c>
      <c r="F32" s="77">
        <f t="shared" si="7"/>
        <v>2.7836923349611304E-3</v>
      </c>
      <c r="G32" s="78">
        <f>(100)+((860)/3.5)</f>
        <v>345.71428571428572</v>
      </c>
      <c r="H32" s="77">
        <f t="shared" si="8"/>
        <v>2.2011025522784594E-3</v>
      </c>
      <c r="I32" s="78">
        <f>SUMIF('[1]UC Enrolment Data'!$A$3:$A$90,B32,'[1]UC Enrolment Data'!$T$3:$T$90)</f>
        <v>2782.4285714285711</v>
      </c>
      <c r="J32" s="75">
        <f t="shared" si="9"/>
        <v>4.8669000000000002</v>
      </c>
      <c r="K32" s="78">
        <f>VLOOKUP(B32,[1]Faculty!$B$7:$K$81,10,FALSE)</f>
        <v>127</v>
      </c>
      <c r="L32" s="79">
        <f t="shared" si="10"/>
        <v>3.8408000000000002</v>
      </c>
      <c r="M32" s="87">
        <f t="shared" si="11"/>
        <v>5</v>
      </c>
      <c r="N32" s="81">
        <f t="shared" si="12"/>
        <v>4.571933333333333</v>
      </c>
      <c r="O32" s="88">
        <v>5</v>
      </c>
      <c r="P32" s="83">
        <v>5</v>
      </c>
      <c r="Q32" s="84">
        <v>5</v>
      </c>
      <c r="R32" s="85">
        <v>5</v>
      </c>
      <c r="S32" s="86">
        <v>5</v>
      </c>
    </row>
    <row r="33" spans="1:19" x14ac:dyDescent="0.2">
      <c r="A33" s="72"/>
      <c r="B33" s="73" t="s">
        <v>30</v>
      </c>
      <c r="C33" s="74">
        <f>VLOOKUP(B33,[1]SponsoredResearch!$B$7:$L$81,11,FALSE)</f>
        <v>3991</v>
      </c>
      <c r="D33" s="75">
        <f t="shared" si="6"/>
        <v>5.5674999999999999</v>
      </c>
      <c r="E33" s="76">
        <f>(3200)+((940)/3.5)</f>
        <v>3468.5714285714284</v>
      </c>
      <c r="F33" s="77">
        <f t="shared" si="7"/>
        <v>3.9409941628487611E-3</v>
      </c>
      <c r="G33" s="78">
        <f>(70)+((80)/3.5)</f>
        <v>92.857142857142861</v>
      </c>
      <c r="H33" s="77">
        <f t="shared" si="8"/>
        <v>5.9120523098388374E-4</v>
      </c>
      <c r="I33" s="78">
        <f>SUMIF('[1]UC Enrolment Data'!$A$3:$A$90,B33,'[1]UC Enrolment Data'!$T$3:$T$90)</f>
        <v>3795.2380952380954</v>
      </c>
      <c r="J33" s="75">
        <f t="shared" si="9"/>
        <v>5.5978000000000003</v>
      </c>
      <c r="K33" s="78">
        <f>VLOOKUP(B33,[1]Faculty!$B$7:$K$81,10,FALSE)</f>
        <v>161</v>
      </c>
      <c r="L33" s="79">
        <f t="shared" si="10"/>
        <v>4.5551000000000004</v>
      </c>
      <c r="M33" s="87">
        <f t="shared" si="11"/>
        <v>5</v>
      </c>
      <c r="N33" s="81">
        <f t="shared" si="12"/>
        <v>5.2401333333333335</v>
      </c>
      <c r="O33" s="88">
        <v>5</v>
      </c>
      <c r="P33" s="83">
        <v>5</v>
      </c>
      <c r="Q33" s="84">
        <v>5</v>
      </c>
      <c r="R33" s="85">
        <v>5</v>
      </c>
      <c r="S33" s="86">
        <v>5</v>
      </c>
    </row>
    <row r="34" spans="1:19" x14ac:dyDescent="0.2">
      <c r="A34" s="72"/>
      <c r="B34" s="73" t="s">
        <v>31</v>
      </c>
      <c r="C34" s="74">
        <f>VLOOKUP(B34,[1]SponsoredResearch!$B$7:$L$81,11,FALSE)</f>
        <v>4455</v>
      </c>
      <c r="D34" s="75">
        <f t="shared" si="6"/>
        <v>5.7228000000000003</v>
      </c>
      <c r="E34" s="76">
        <f>(2570)+(80/3.5)</f>
        <v>2592.8571428571427</v>
      </c>
      <c r="F34" s="77">
        <f t="shared" si="7"/>
        <v>2.9460067568247532E-3</v>
      </c>
      <c r="G34" s="78">
        <v>10</v>
      </c>
      <c r="H34" s="77">
        <f t="shared" si="8"/>
        <v>6.3668255644418247E-5</v>
      </c>
      <c r="I34" s="78">
        <f>SUMIF('[1]UC Enrolment Data'!$A$3:$A$90,B34,'[1]UC Enrolment Data'!$T$3:$T$90)</f>
        <v>2177.3333333333335</v>
      </c>
      <c r="J34" s="75">
        <f t="shared" si="9"/>
        <v>4.2896000000000001</v>
      </c>
      <c r="K34" s="78">
        <f>VLOOKUP(B34,[1]Faculty!$B$7:$K$81,10,FALSE)</f>
        <v>133</v>
      </c>
      <c r="L34" s="79">
        <f t="shared" si="10"/>
        <v>3.9798</v>
      </c>
      <c r="M34" s="87">
        <f t="shared" si="11"/>
        <v>5</v>
      </c>
      <c r="N34" s="81">
        <f t="shared" si="12"/>
        <v>4.6640666666666668</v>
      </c>
      <c r="O34" s="88">
        <v>5</v>
      </c>
      <c r="P34" s="83">
        <v>5</v>
      </c>
      <c r="Q34" s="84">
        <v>5</v>
      </c>
      <c r="R34" s="85">
        <v>5</v>
      </c>
      <c r="S34" s="86">
        <v>5</v>
      </c>
    </row>
    <row r="35" spans="1:19" x14ac:dyDescent="0.2">
      <c r="A35" s="72"/>
      <c r="B35" s="73" t="s">
        <v>32</v>
      </c>
      <c r="C35" s="74">
        <f>VLOOKUP(B35,[1]SponsoredResearch!$B$7:$L$81,11,FALSE)</f>
        <v>2477</v>
      </c>
      <c r="D35" s="75">
        <f t="shared" si="6"/>
        <v>4.8943000000000003</v>
      </c>
      <c r="E35" s="76">
        <f>(2170)+((770)/3.5)</f>
        <v>2390</v>
      </c>
      <c r="F35" s="77">
        <f t="shared" si="7"/>
        <v>2.7155202777784091E-3</v>
      </c>
      <c r="G35" s="78">
        <f>(110)+((120)/3.5)</f>
        <v>144.28571428571428</v>
      </c>
      <c r="H35" s="77">
        <f t="shared" si="8"/>
        <v>9.186419742980346E-4</v>
      </c>
      <c r="I35" s="78">
        <f>SUMIF('[1]UC Enrolment Data'!$A$3:$A$90,B35,'[1]UC Enrolment Data'!$T$3:$T$90)</f>
        <v>2962.7142857142858</v>
      </c>
      <c r="J35" s="75">
        <f t="shared" si="9"/>
        <v>5.0147000000000004</v>
      </c>
      <c r="K35" s="78">
        <f>VLOOKUP(B35,[1]Faculty!$B$7:$K$81,10,FALSE)</f>
        <v>182</v>
      </c>
      <c r="L35" s="79">
        <f t="shared" si="10"/>
        <v>4.9241999999999999</v>
      </c>
      <c r="M35" s="87">
        <f t="shared" si="11"/>
        <v>5</v>
      </c>
      <c r="N35" s="81">
        <f t="shared" si="12"/>
        <v>4.9444000000000008</v>
      </c>
      <c r="O35" s="88">
        <v>5</v>
      </c>
      <c r="P35" s="83">
        <v>5</v>
      </c>
      <c r="Q35" s="84">
        <v>5</v>
      </c>
      <c r="R35" s="85">
        <v>5</v>
      </c>
      <c r="S35" s="86">
        <v>5</v>
      </c>
    </row>
    <row r="36" spans="1:19" x14ac:dyDescent="0.2">
      <c r="A36" s="72"/>
      <c r="B36" s="73" t="s">
        <v>33</v>
      </c>
      <c r="C36" s="74">
        <f>VLOOKUP(B36,[1]SponsoredResearch!$B$7:$L$81,11,FALSE)</f>
        <v>5970</v>
      </c>
      <c r="D36" s="75">
        <f t="shared" si="6"/>
        <v>6.1359000000000004</v>
      </c>
      <c r="E36" s="76">
        <f>(2480)+(510/3.5)</f>
        <v>2625.7142857142858</v>
      </c>
      <c r="F36" s="77">
        <f t="shared" si="7"/>
        <v>2.9833390738533867E-3</v>
      </c>
      <c r="G36" s="78">
        <v>180</v>
      </c>
      <c r="H36" s="77">
        <f t="shared" si="8"/>
        <v>1.1460286015995283E-3</v>
      </c>
      <c r="I36" s="78">
        <f>SUMIF('[1]UC Enrolment Data'!$A$3:$A$90,B36,'[1]UC Enrolment Data'!$T$3:$T$90)</f>
        <v>3867.4761904761908</v>
      </c>
      <c r="J36" s="75">
        <f t="shared" si="9"/>
        <v>5.6421999999999999</v>
      </c>
      <c r="K36" s="78">
        <f>VLOOKUP(B36,[1]Faculty!$B$7:$K$81,10,FALSE)</f>
        <v>149</v>
      </c>
      <c r="L36" s="79">
        <f t="shared" si="10"/>
        <v>4.3217999999999996</v>
      </c>
      <c r="M36" s="87">
        <f t="shared" si="11"/>
        <v>5</v>
      </c>
      <c r="N36" s="81">
        <f t="shared" si="12"/>
        <v>5.3666333333333327</v>
      </c>
      <c r="O36" s="88">
        <v>5</v>
      </c>
      <c r="P36" s="83">
        <v>5</v>
      </c>
      <c r="Q36" s="84">
        <v>5</v>
      </c>
      <c r="R36" s="85">
        <v>5</v>
      </c>
      <c r="S36" s="86">
        <v>5</v>
      </c>
    </row>
    <row r="37" spans="1:19" x14ac:dyDescent="0.2">
      <c r="A37" s="72"/>
      <c r="B37" s="73" t="s">
        <v>34</v>
      </c>
      <c r="C37" s="74">
        <f>VLOOKUP(B37,[1]SponsoredResearch!$B$7:$L$81,11,FALSE)</f>
        <v>61400</v>
      </c>
      <c r="D37" s="75">
        <f t="shared" si="6"/>
        <v>9.4255999999999993</v>
      </c>
      <c r="E37" s="76">
        <v>0</v>
      </c>
      <c r="F37" s="77">
        <f t="shared" si="7"/>
        <v>0</v>
      </c>
      <c r="G37" s="78">
        <f>490+(40/3.5)</f>
        <v>501.42857142857144</v>
      </c>
      <c r="H37" s="77">
        <f t="shared" si="8"/>
        <v>3.1925082473129719E-3</v>
      </c>
      <c r="I37" s="78">
        <f>SUMIF('[1]UC Enrolment Data'!$A$3:$A$90,B37,'[1]UC Enrolment Data'!$T$3:$T$90)</f>
        <v>589.2380952380953</v>
      </c>
      <c r="J37" s="75">
        <f t="shared" si="9"/>
        <v>1.2121999999999999</v>
      </c>
      <c r="K37" s="78">
        <f>VLOOKUP(B37,[1]Faculty!$B$7:$K$81,10,FALSE)</f>
        <v>150</v>
      </c>
      <c r="L37" s="79">
        <f t="shared" si="10"/>
        <v>4.3419999999999996</v>
      </c>
      <c r="M37" s="87">
        <f t="shared" si="11"/>
        <v>5</v>
      </c>
      <c r="N37" s="81">
        <f t="shared" si="12"/>
        <v>4.9932666666666661</v>
      </c>
      <c r="O37" s="88">
        <v>5</v>
      </c>
      <c r="P37" s="83">
        <v>5</v>
      </c>
      <c r="Q37" s="84">
        <v>5</v>
      </c>
      <c r="R37" s="85">
        <v>5</v>
      </c>
      <c r="S37" s="86">
        <v>5</v>
      </c>
    </row>
    <row r="38" spans="1:19" x14ac:dyDescent="0.2">
      <c r="A38" s="72"/>
      <c r="B38" s="73" t="s">
        <v>35</v>
      </c>
      <c r="C38" s="74">
        <f>VLOOKUP(B38,[1]SponsoredResearch!$B$7:$L$81,11,FALSE)</f>
        <v>17104</v>
      </c>
      <c r="D38" s="75">
        <f t="shared" si="6"/>
        <v>7.6215999999999999</v>
      </c>
      <c r="E38" s="76">
        <f>(910)+((1470)/3.5)</f>
        <v>1330</v>
      </c>
      <c r="F38" s="77">
        <f t="shared" si="7"/>
        <v>1.511147267550328E-3</v>
      </c>
      <c r="G38" s="78">
        <f>(190)+((260)/3.5)</f>
        <v>264.28571428571428</v>
      </c>
      <c r="H38" s="77">
        <f t="shared" si="8"/>
        <v>1.6826610420310536E-3</v>
      </c>
      <c r="I38" s="78">
        <f>SUMIF('[1]UC Enrolment Data'!$A$3:$A$90,B38,'[1]UC Enrolment Data'!$T$3:$T$90)</f>
        <v>2248.5714285714289</v>
      </c>
      <c r="J38" s="75">
        <f t="shared" si="9"/>
        <v>4.3654000000000002</v>
      </c>
      <c r="K38" s="78">
        <f>VLOOKUP(B38,[1]Faculty!$B$7:$K$81,10,FALSE)</f>
        <v>114</v>
      </c>
      <c r="L38" s="79">
        <f t="shared" si="10"/>
        <v>3.5156000000000001</v>
      </c>
      <c r="M38" s="87">
        <f t="shared" si="11"/>
        <v>5</v>
      </c>
      <c r="N38" s="81">
        <f t="shared" si="12"/>
        <v>5.167533333333334</v>
      </c>
      <c r="O38" s="88">
        <v>5</v>
      </c>
      <c r="P38" s="83">
        <v>5</v>
      </c>
      <c r="Q38" s="84">
        <v>5</v>
      </c>
      <c r="R38" s="85">
        <v>5</v>
      </c>
      <c r="S38" s="86">
        <v>5</v>
      </c>
    </row>
    <row r="39" spans="1:19" x14ac:dyDescent="0.2">
      <c r="A39" s="72"/>
      <c r="B39" s="73" t="s">
        <v>36</v>
      </c>
      <c r="C39" s="74">
        <f>VLOOKUP(B39,[1]SponsoredResearch!$B$7:$L$81,11,FALSE)</f>
        <v>2614</v>
      </c>
      <c r="D39" s="75">
        <f t="shared" si="6"/>
        <v>4.9702000000000002</v>
      </c>
      <c r="E39" s="76">
        <f>(3800)+((2300)/3.5)</f>
        <v>4457.1428571428569</v>
      </c>
      <c r="F39" s="77">
        <f t="shared" si="7"/>
        <v>5.0642099621450304E-3</v>
      </c>
      <c r="G39" s="78">
        <f>(60)+((280)/3.5)</f>
        <v>140</v>
      </c>
      <c r="H39" s="77">
        <f t="shared" si="8"/>
        <v>8.9135557902185545E-4</v>
      </c>
      <c r="I39" s="78">
        <f>SUMIF('[1]UC Enrolment Data'!$A$3:$A$90,B39,'[1]UC Enrolment Data'!$T$3:$T$90)</f>
        <v>3989.5238095238092</v>
      </c>
      <c r="J39" s="75">
        <f t="shared" si="9"/>
        <v>5.7153999999999998</v>
      </c>
      <c r="K39" s="78">
        <f>VLOOKUP(B39,[1]Faculty!$B$7:$K$81,10,FALSE)</f>
        <v>173</v>
      </c>
      <c r="L39" s="79">
        <f t="shared" si="10"/>
        <v>4.7714999999999996</v>
      </c>
      <c r="M39" s="87">
        <f t="shared" si="11"/>
        <v>5</v>
      </c>
      <c r="N39" s="81">
        <f t="shared" si="12"/>
        <v>5.1523666666666665</v>
      </c>
      <c r="O39" s="88">
        <v>5</v>
      </c>
      <c r="P39" s="83">
        <v>5</v>
      </c>
      <c r="Q39" s="84">
        <v>5</v>
      </c>
      <c r="R39" s="85">
        <v>5</v>
      </c>
      <c r="S39" s="86">
        <v>5</v>
      </c>
    </row>
    <row r="40" spans="1:19" x14ac:dyDescent="0.2">
      <c r="A40" s="72"/>
      <c r="B40" s="73" t="s">
        <v>37</v>
      </c>
      <c r="C40" s="74">
        <f>VLOOKUP(B40,[1]SponsoredResearch!$B$7:$L$81,11,FALSE)</f>
        <v>12763</v>
      </c>
      <c r="D40" s="75">
        <f t="shared" si="6"/>
        <v>7.2084000000000001</v>
      </c>
      <c r="E40" s="76">
        <f>(1090)+((170)/3.5)</f>
        <v>1138.5714285714287</v>
      </c>
      <c r="F40" s="77">
        <f t="shared" si="7"/>
        <v>1.2936459422530737E-3</v>
      </c>
      <c r="G40" s="78">
        <f>(300)+((260)/3.5)</f>
        <v>374.28571428571428</v>
      </c>
      <c r="H40" s="77">
        <f t="shared" si="8"/>
        <v>2.3830118541196543E-3</v>
      </c>
      <c r="I40" s="78">
        <f>SUMIF('[1]UC Enrolment Data'!$A$3:$A$90,B40,'[1]UC Enrolment Data'!$T$3:$T$90)</f>
        <v>1045.2380952380952</v>
      </c>
      <c r="J40" s="75">
        <f t="shared" si="9"/>
        <v>2.5617000000000001</v>
      </c>
      <c r="K40" s="78">
        <f>VLOOKUP(B40,[1]Faculty!$B$7:$K$81,10,FALSE)</f>
        <v>205.33333333333334</v>
      </c>
      <c r="L40" s="79">
        <f t="shared" si="10"/>
        <v>5.2873999999999999</v>
      </c>
      <c r="M40" s="87">
        <f t="shared" si="11"/>
        <v>5</v>
      </c>
      <c r="N40" s="81">
        <f t="shared" si="12"/>
        <v>5.0191666666666661</v>
      </c>
      <c r="O40" s="88">
        <v>5</v>
      </c>
      <c r="P40" s="83">
        <v>5</v>
      </c>
      <c r="Q40" s="84">
        <v>6</v>
      </c>
      <c r="R40" s="85">
        <v>6</v>
      </c>
      <c r="S40" s="86">
        <v>6</v>
      </c>
    </row>
    <row r="41" spans="1:19" x14ac:dyDescent="0.2">
      <c r="A41" s="72"/>
      <c r="B41" s="92" t="s">
        <v>38</v>
      </c>
      <c r="C41" s="93">
        <f>VLOOKUP(B41,[1]SponsoredResearch!$B$7:$L$81,11,FALSE)</f>
        <v>8879</v>
      </c>
      <c r="D41" s="94">
        <f t="shared" si="6"/>
        <v>6.6962000000000002</v>
      </c>
      <c r="E41" s="95">
        <f>(1950)+((970)/3.5)</f>
        <v>2227.1428571428573</v>
      </c>
      <c r="F41" s="96">
        <f t="shared" si="7"/>
        <v>2.5304818368538794E-3</v>
      </c>
      <c r="G41" s="97">
        <f>(500)+((160)/3.5)</f>
        <v>545.71428571428567</v>
      </c>
      <c r="H41" s="96">
        <f t="shared" si="8"/>
        <v>3.4744676651668237E-3</v>
      </c>
      <c r="I41" s="97">
        <f>SUMIF('[1]UC Enrolment Data'!$A$3:$A$90,B41,'[1]UC Enrolment Data'!$T$3:$T$90)</f>
        <v>2701.0952380952381</v>
      </c>
      <c r="J41" s="94">
        <f t="shared" si="9"/>
        <v>4.7971000000000004</v>
      </c>
      <c r="K41" s="97">
        <f>VLOOKUP(B41,[1]Faculty!$B$7:$K$81,10,FALSE)</f>
        <v>185</v>
      </c>
      <c r="L41" s="98">
        <f t="shared" si="10"/>
        <v>4.9733999999999998</v>
      </c>
      <c r="M41" s="99">
        <f t="shared" si="11"/>
        <v>5</v>
      </c>
      <c r="N41" s="100">
        <f t="shared" si="12"/>
        <v>5.488900000000001</v>
      </c>
      <c r="O41" s="88">
        <v>6</v>
      </c>
      <c r="P41" s="83">
        <v>6</v>
      </c>
      <c r="Q41" s="84">
        <v>6</v>
      </c>
      <c r="R41" s="85">
        <v>6</v>
      </c>
      <c r="S41" s="86">
        <v>6</v>
      </c>
    </row>
    <row r="42" spans="1:19" x14ac:dyDescent="0.2">
      <c r="A42" s="72"/>
      <c r="B42" s="73" t="s">
        <v>39</v>
      </c>
      <c r="C42" s="74">
        <f>VLOOKUP(B42,[1]SponsoredResearch!$B$7:$L$81,11,FALSE)</f>
        <v>1640</v>
      </c>
      <c r="D42" s="75">
        <f t="shared" si="6"/>
        <v>4.3121999999999998</v>
      </c>
      <c r="E42" s="76">
        <f>(5800)+(2190/3.5)</f>
        <v>6425.7142857142853</v>
      </c>
      <c r="F42" s="77">
        <f t="shared" si="7"/>
        <v>7.3009026954257523E-3</v>
      </c>
      <c r="G42" s="78">
        <v>50</v>
      </c>
      <c r="H42" s="77">
        <f t="shared" si="8"/>
        <v>3.1834127822209123E-4</v>
      </c>
      <c r="I42" s="78">
        <f>SUMIF('[1]UC Enrolment Data'!$A$3:$A$90,B42,'[1]UC Enrolment Data'!$T$3:$T$90)</f>
        <v>7355.9523809523816</v>
      </c>
      <c r="J42" s="75">
        <f t="shared" si="9"/>
        <v>7.1558999999999999</v>
      </c>
      <c r="K42" s="78">
        <f>VLOOKUP(B42,[1]Faculty!$B$7:$K$81,10,FALSE)</f>
        <v>262</v>
      </c>
      <c r="L42" s="79">
        <f t="shared" si="10"/>
        <v>6.0212000000000003</v>
      </c>
      <c r="M42" s="87">
        <f t="shared" si="11"/>
        <v>6</v>
      </c>
      <c r="N42" s="81">
        <f t="shared" si="12"/>
        <v>5.829766666666667</v>
      </c>
      <c r="O42" s="88">
        <v>6</v>
      </c>
      <c r="P42" s="83">
        <v>6</v>
      </c>
      <c r="Q42" s="84">
        <v>6</v>
      </c>
      <c r="R42" s="85">
        <v>6</v>
      </c>
      <c r="S42" s="86">
        <v>6</v>
      </c>
    </row>
    <row r="43" spans="1:19" x14ac:dyDescent="0.2">
      <c r="A43" s="72"/>
      <c r="B43" s="73" t="s">
        <v>40</v>
      </c>
      <c r="C43" s="74">
        <f>VLOOKUP(B43,[1]SponsoredResearch!$B$7:$L$81,11,FALSE)</f>
        <v>6167</v>
      </c>
      <c r="D43" s="75">
        <f t="shared" si="6"/>
        <v>6.1817000000000002</v>
      </c>
      <c r="E43" s="76">
        <f>(3290)+((150)/3.5)</f>
        <v>3332.8571428571427</v>
      </c>
      <c r="F43" s="77">
        <f t="shared" si="7"/>
        <v>3.7867954620783191E-3</v>
      </c>
      <c r="G43" s="78">
        <f>(190)+((330)/3.5)</f>
        <v>284.28571428571428</v>
      </c>
      <c r="H43" s="77">
        <f t="shared" si="8"/>
        <v>1.8099975533198899E-3</v>
      </c>
      <c r="I43" s="78">
        <f>SUMIF('[1]UC Enrolment Data'!$A$3:$A$90,B43,'[1]UC Enrolment Data'!$T$3:$T$90)</f>
        <v>4002.0952380952381</v>
      </c>
      <c r="J43" s="75">
        <f t="shared" si="9"/>
        <v>5.7228000000000003</v>
      </c>
      <c r="K43" s="78">
        <f>VLOOKUP(B43,[1]Faculty!$B$7:$K$81,10,FALSE)</f>
        <v>191</v>
      </c>
      <c r="L43" s="79">
        <f t="shared" si="10"/>
        <v>5.0694999999999997</v>
      </c>
      <c r="M43" s="87">
        <f t="shared" si="11"/>
        <v>6</v>
      </c>
      <c r="N43" s="81">
        <f t="shared" si="12"/>
        <v>5.6580000000000004</v>
      </c>
      <c r="O43" s="88">
        <v>6</v>
      </c>
      <c r="P43" s="83">
        <v>6</v>
      </c>
      <c r="Q43" s="84">
        <v>6</v>
      </c>
      <c r="R43" s="85">
        <v>6</v>
      </c>
      <c r="S43" s="86">
        <v>6</v>
      </c>
    </row>
    <row r="44" spans="1:19" ht="15.6" customHeight="1" x14ac:dyDescent="0.2">
      <c r="A44" s="72"/>
      <c r="B44" s="73" t="s">
        <v>41</v>
      </c>
      <c r="C44" s="74">
        <f>VLOOKUP(B44,[1]SponsoredResearch!$B$7:$L$81,11,FALSE)</f>
        <v>1644</v>
      </c>
      <c r="D44" s="75">
        <f t="shared" si="6"/>
        <v>4.3156999999999996</v>
      </c>
      <c r="E44" s="76">
        <f>(5490)+((990)/3.5)</f>
        <v>5772.8571428571431</v>
      </c>
      <c r="F44" s="77">
        <f t="shared" si="7"/>
        <v>6.5591257875089962E-3</v>
      </c>
      <c r="G44" s="78">
        <f>(210)+((102)/3.5)</f>
        <v>239.14285714285714</v>
      </c>
      <c r="H44" s="77">
        <f t="shared" si="8"/>
        <v>1.522580856410802E-3</v>
      </c>
      <c r="I44" s="78">
        <f>SUMIF('[1]UC Enrolment Data'!$A$3:$A$90,B44,'[1]UC Enrolment Data'!$T$3:$T$90)</f>
        <v>6688.7142857142853</v>
      </c>
      <c r="J44" s="75">
        <f t="shared" si="9"/>
        <v>6.9320000000000004</v>
      </c>
      <c r="K44" s="78">
        <f>VLOOKUP(B44,[1]Faculty!$B$7:$K$81,10,FALSE)</f>
        <v>258</v>
      </c>
      <c r="L44" s="79">
        <f t="shared" si="10"/>
        <v>5.9748999999999999</v>
      </c>
      <c r="M44" s="87">
        <f t="shared" si="11"/>
        <v>6</v>
      </c>
      <c r="N44" s="81">
        <f t="shared" si="12"/>
        <v>5.7408666666666663</v>
      </c>
      <c r="O44" s="88">
        <v>6</v>
      </c>
      <c r="P44" s="83">
        <v>6</v>
      </c>
      <c r="Q44" s="84">
        <v>6</v>
      </c>
      <c r="R44" s="85">
        <v>6</v>
      </c>
      <c r="S44" s="86">
        <v>6</v>
      </c>
    </row>
    <row r="45" spans="1:19" x14ac:dyDescent="0.2">
      <c r="A45" s="72"/>
      <c r="B45" s="73" t="s">
        <v>42</v>
      </c>
      <c r="C45" s="74">
        <f>VLOOKUP(B45,[1]SponsoredResearch!$B$7:$L$81,11,FALSE)</f>
        <v>807</v>
      </c>
      <c r="D45" s="75">
        <f t="shared" si="6"/>
        <v>3.3113000000000001</v>
      </c>
      <c r="E45" s="76">
        <v>11794</v>
      </c>
      <c r="F45" s="77">
        <f t="shared" si="7"/>
        <v>1.3400354040216968E-2</v>
      </c>
      <c r="G45" s="78">
        <v>0</v>
      </c>
      <c r="H45" s="77">
        <f t="shared" si="8"/>
        <v>0</v>
      </c>
      <c r="I45" s="78">
        <f>SUMIF('[1]UC Enrolment Data'!$A$3:$A$90,B45,'[1]UC Enrolment Data'!$T$3:$T$90)</f>
        <v>13326.523809523811</v>
      </c>
      <c r="J45" s="75">
        <f t="shared" si="9"/>
        <v>8.5549999999999997</v>
      </c>
      <c r="K45" s="78">
        <f>VLOOKUP(B45,[1]Faculty!$B$7:$K$81,10,FALSE)</f>
        <v>403</v>
      </c>
      <c r="L45" s="79">
        <f t="shared" si="10"/>
        <v>7.3178000000000001</v>
      </c>
      <c r="M45" s="87">
        <f t="shared" si="11"/>
        <v>6</v>
      </c>
      <c r="N45" s="81">
        <f t="shared" si="12"/>
        <v>6.3947000000000003</v>
      </c>
      <c r="O45" s="88">
        <v>6</v>
      </c>
      <c r="P45" s="83">
        <v>6</v>
      </c>
      <c r="Q45" s="84">
        <v>6</v>
      </c>
      <c r="R45" s="85">
        <v>6</v>
      </c>
      <c r="S45" s="86">
        <v>5</v>
      </c>
    </row>
    <row r="46" spans="1:19" x14ac:dyDescent="0.2">
      <c r="A46" s="72"/>
      <c r="B46" s="73" t="s">
        <v>43</v>
      </c>
      <c r="C46" s="74">
        <f>VLOOKUP(B46,[1]SponsoredResearch!$B$7:$L$81,11,FALSE)</f>
        <v>7606</v>
      </c>
      <c r="D46" s="75">
        <f t="shared" si="6"/>
        <v>6.4778000000000002</v>
      </c>
      <c r="E46" s="76">
        <f>(3160)+((2070)/3.5)</f>
        <v>3751.4285714285716</v>
      </c>
      <c r="F46" s="77">
        <f t="shared" si="7"/>
        <v>4.2623767181387343E-3</v>
      </c>
      <c r="G46" s="78">
        <f>(560)+((600)/3.5)</f>
        <v>731.42857142857144</v>
      </c>
      <c r="H46" s="77">
        <f t="shared" si="8"/>
        <v>4.6568781271345916E-3</v>
      </c>
      <c r="I46" s="78">
        <f>SUMIF('[1]UC Enrolment Data'!$A$3:$A$90,B46,'[1]UC Enrolment Data'!$T$3:$T$90)</f>
        <v>5180.8571428571431</v>
      </c>
      <c r="J46" s="75">
        <f t="shared" si="9"/>
        <v>6.3305999999999996</v>
      </c>
      <c r="K46" s="78">
        <f>VLOOKUP(B46,[1]Faculty!$B$7:$K$81,10,FALSE)</f>
        <v>243</v>
      </c>
      <c r="L46" s="79">
        <f t="shared" si="10"/>
        <v>5.7946</v>
      </c>
      <c r="M46" s="87">
        <f t="shared" si="11"/>
        <v>6</v>
      </c>
      <c r="N46" s="81">
        <f t="shared" si="12"/>
        <v>6.2009999999999996</v>
      </c>
      <c r="O46" s="88">
        <v>6</v>
      </c>
      <c r="P46" s="83">
        <v>6</v>
      </c>
      <c r="Q46" s="84">
        <v>6</v>
      </c>
      <c r="R46" s="85">
        <v>6</v>
      </c>
      <c r="S46" s="86">
        <v>6</v>
      </c>
    </row>
    <row r="47" spans="1:19" x14ac:dyDescent="0.2">
      <c r="A47" s="72"/>
      <c r="B47" s="73" t="s">
        <v>44</v>
      </c>
      <c r="C47" s="74">
        <f>VLOOKUP(B47,[1]SponsoredResearch!$B$7:$L$81,11,FALSE)</f>
        <v>2930</v>
      </c>
      <c r="D47" s="75">
        <f t="shared" si="6"/>
        <v>5.1313000000000004</v>
      </c>
      <c r="E47" s="76">
        <f>(6540)+(890/3.5)</f>
        <v>6794.2857142857147</v>
      </c>
      <c r="F47" s="77">
        <f t="shared" si="7"/>
        <v>7.7196739038338999E-3</v>
      </c>
      <c r="G47" s="78">
        <v>110</v>
      </c>
      <c r="H47" s="77">
        <f t="shared" si="8"/>
        <v>7.0035081208860066E-4</v>
      </c>
      <c r="I47" s="78">
        <f>SUMIF('[1]UC Enrolment Data'!$A$3:$A$90,B47,'[1]UC Enrolment Data'!$T$3:$T$90)</f>
        <v>8356.6666666666661</v>
      </c>
      <c r="J47" s="75">
        <f t="shared" si="9"/>
        <v>7.4561999999999999</v>
      </c>
      <c r="K47" s="78">
        <f>VLOOKUP(B47,[1]Faculty!$B$7:$K$81,10,FALSE)</f>
        <v>326</v>
      </c>
      <c r="L47" s="79">
        <f t="shared" si="10"/>
        <v>6.6792999999999996</v>
      </c>
      <c r="M47" s="87">
        <f t="shared" si="11"/>
        <v>6</v>
      </c>
      <c r="N47" s="81">
        <f t="shared" si="12"/>
        <v>6.4222666666666663</v>
      </c>
      <c r="O47" s="88">
        <v>6</v>
      </c>
      <c r="P47" s="83">
        <v>6</v>
      </c>
      <c r="Q47" s="84">
        <v>6</v>
      </c>
      <c r="R47" s="85">
        <v>6</v>
      </c>
      <c r="S47" s="86">
        <v>6</v>
      </c>
    </row>
    <row r="48" spans="1:19" ht="13.5" customHeight="1" x14ac:dyDescent="0.2">
      <c r="A48" s="72"/>
      <c r="B48" s="73" t="s">
        <v>45</v>
      </c>
      <c r="C48" s="74">
        <f>VLOOKUP(B48,[1]SponsoredResearch!$B$7:$L$81,11,FALSE)</f>
        <v>7775</v>
      </c>
      <c r="D48" s="75">
        <f t="shared" si="6"/>
        <v>6.5087999999999999</v>
      </c>
      <c r="E48" s="76">
        <f>(4070)+((510)/3.5)</f>
        <v>4215.7142857142853</v>
      </c>
      <c r="F48" s="77">
        <f t="shared" si="7"/>
        <v>4.7898985891955074E-3</v>
      </c>
      <c r="G48" s="78">
        <f>(100)+((260)/3.5)</f>
        <v>174.28571428571428</v>
      </c>
      <c r="H48" s="77">
        <f t="shared" si="8"/>
        <v>1.1096467412312894E-3</v>
      </c>
      <c r="I48" s="78">
        <f>SUMIF('[1]UC Enrolment Data'!$A$3:$A$90,B48,'[1]UC Enrolment Data'!$T$3:$T$90)</f>
        <v>4283.9047619047624</v>
      </c>
      <c r="J48" s="75">
        <f t="shared" si="9"/>
        <v>5.883</v>
      </c>
      <c r="K48" s="78">
        <f>VLOOKUP(B48,[1]Faculty!$B$7:$K$81,10,FALSE)</f>
        <v>223</v>
      </c>
      <c r="L48" s="79">
        <f t="shared" si="10"/>
        <v>5.5358999999999998</v>
      </c>
      <c r="M48" s="87">
        <f t="shared" si="11"/>
        <v>6</v>
      </c>
      <c r="N48" s="81">
        <f t="shared" si="12"/>
        <v>5.9759000000000002</v>
      </c>
      <c r="O48" s="88">
        <v>6</v>
      </c>
      <c r="P48" s="83">
        <v>6</v>
      </c>
      <c r="Q48" s="84">
        <v>6</v>
      </c>
      <c r="R48" s="85">
        <v>6</v>
      </c>
      <c r="S48" s="86">
        <v>6</v>
      </c>
    </row>
    <row r="49" spans="1:19" x14ac:dyDescent="0.2">
      <c r="A49" s="72"/>
      <c r="B49" s="73" t="s">
        <v>46</v>
      </c>
      <c r="C49" s="74">
        <f>VLOOKUP(B49,[1]SponsoredResearch!$B$7:$L$81,11,FALSE)</f>
        <v>3345</v>
      </c>
      <c r="D49" s="75">
        <f t="shared" si="6"/>
        <v>5.3182999999999998</v>
      </c>
      <c r="E49" s="76">
        <f>(36240)/3.5</f>
        <v>10354.285714285714</v>
      </c>
      <c r="F49" s="77">
        <f t="shared" si="7"/>
        <v>1.1764549296675378E-2</v>
      </c>
      <c r="G49" s="78">
        <f>(3460)/3.5</f>
        <v>988.57142857142856</v>
      </c>
      <c r="H49" s="77">
        <f t="shared" si="8"/>
        <v>6.2940618437053461E-3</v>
      </c>
      <c r="I49" s="78">
        <f>SUMIF('[1]UC Enrolment Data'!$A$3:$A$90,B49,'[1]UC Enrolment Data'!$T$3:$T$90)</f>
        <v>12490.952380952382</v>
      </c>
      <c r="J49" s="75">
        <f t="shared" si="9"/>
        <v>8.4025999999999996</v>
      </c>
      <c r="K49" s="78">
        <f>VLOOKUP(B49,[1]Faculty!$B$7:$K$81,10,FALSE)</f>
        <v>175</v>
      </c>
      <c r="L49" s="79">
        <f t="shared" si="10"/>
        <v>4.8060999999999998</v>
      </c>
      <c r="M49" s="87">
        <f t="shared" si="11"/>
        <v>6</v>
      </c>
      <c r="N49" s="81">
        <f t="shared" si="12"/>
        <v>6.1756666666666673</v>
      </c>
      <c r="O49" s="88">
        <v>6</v>
      </c>
      <c r="P49" s="83">
        <v>6</v>
      </c>
      <c r="Q49" s="84">
        <v>6</v>
      </c>
      <c r="R49" s="85">
        <v>6</v>
      </c>
      <c r="S49" s="86">
        <v>6</v>
      </c>
    </row>
    <row r="50" spans="1:19" x14ac:dyDescent="0.2">
      <c r="A50" s="72"/>
      <c r="B50" s="73" t="s">
        <v>47</v>
      </c>
      <c r="C50" s="74">
        <f>VLOOKUP(B50,[1]SponsoredResearch!$B$7:$L$81,11,FALSE)</f>
        <v>12455</v>
      </c>
      <c r="D50" s="75">
        <f t="shared" si="6"/>
        <v>7.1738999999999997</v>
      </c>
      <c r="E50" s="76">
        <f>(3670)+((650)/3.5)</f>
        <v>3855.7142857142858</v>
      </c>
      <c r="F50" s="77">
        <f t="shared" si="7"/>
        <v>4.380866246099179E-3</v>
      </c>
      <c r="G50" s="78">
        <f>(250)+((20)/3.5)</f>
        <v>255.71428571428572</v>
      </c>
      <c r="H50" s="77">
        <f t="shared" si="8"/>
        <v>1.6280882514786953E-3</v>
      </c>
      <c r="I50" s="78">
        <f>SUMIF('[1]UC Enrolment Data'!$A$3:$A$90,B50,'[1]UC Enrolment Data'!$T$3:$T$90)</f>
        <v>4428.4285714285716</v>
      </c>
      <c r="J50" s="75">
        <f t="shared" si="9"/>
        <v>5.9611000000000001</v>
      </c>
      <c r="K50" s="78">
        <f>VLOOKUP(B50,[1]Faculty!$B$7:$K$81,10,FALSE)</f>
        <v>235</v>
      </c>
      <c r="L50" s="79">
        <f t="shared" si="10"/>
        <v>5.6938000000000004</v>
      </c>
      <c r="M50" s="87">
        <f t="shared" si="11"/>
        <v>6</v>
      </c>
      <c r="N50" s="81">
        <f t="shared" si="12"/>
        <v>6.2762666666666673</v>
      </c>
      <c r="O50" s="88">
        <v>6</v>
      </c>
      <c r="P50" s="83">
        <v>6</v>
      </c>
      <c r="Q50" s="84">
        <v>6</v>
      </c>
      <c r="R50" s="85">
        <v>6</v>
      </c>
      <c r="S50" s="86">
        <v>6</v>
      </c>
    </row>
    <row r="51" spans="1:19" x14ac:dyDescent="0.2">
      <c r="A51" s="72"/>
      <c r="B51" s="73" t="s">
        <v>48</v>
      </c>
      <c r="C51" s="74">
        <f>VLOOKUP(B51,[1]SponsoredResearch!$B$7:$L$81,11,FALSE)</f>
        <v>20602</v>
      </c>
      <c r="D51" s="75">
        <f t="shared" si="6"/>
        <v>7.8841999999999999</v>
      </c>
      <c r="E51" s="76">
        <f>(2840)+((2650)/3.5)</f>
        <v>3597.1428571428569</v>
      </c>
      <c r="F51" s="77">
        <f t="shared" si="7"/>
        <v>4.0870771425260211E-3</v>
      </c>
      <c r="G51" s="78">
        <f>(510)+((440)/3.5)</f>
        <v>635.71428571428567</v>
      </c>
      <c r="H51" s="77">
        <f t="shared" si="8"/>
        <v>4.0474819659665883E-3</v>
      </c>
      <c r="I51" s="78">
        <f>SUMIF('[1]UC Enrolment Data'!$A$3:$A$90,B51,'[1]UC Enrolment Data'!$T$3:$T$90)</f>
        <v>4271.9047619047624</v>
      </c>
      <c r="J51" s="75">
        <f t="shared" si="9"/>
        <v>5.8764000000000003</v>
      </c>
      <c r="K51" s="78">
        <f>VLOOKUP(B51,[1]Faculty!$B$7:$K$81,10,FALSE)</f>
        <v>200</v>
      </c>
      <c r="L51" s="79">
        <f t="shared" si="10"/>
        <v>5.2081999999999997</v>
      </c>
      <c r="M51" s="87">
        <f t="shared" si="11"/>
        <v>6</v>
      </c>
      <c r="N51" s="81">
        <f t="shared" si="12"/>
        <v>6.3229333333333342</v>
      </c>
      <c r="O51" s="88">
        <v>6</v>
      </c>
      <c r="P51" s="83">
        <v>6</v>
      </c>
      <c r="Q51" s="84">
        <v>6</v>
      </c>
      <c r="R51" s="85">
        <v>6</v>
      </c>
      <c r="S51" s="86">
        <v>7</v>
      </c>
    </row>
    <row r="52" spans="1:19" x14ac:dyDescent="0.2">
      <c r="A52" s="72"/>
      <c r="B52" s="73" t="s">
        <v>49</v>
      </c>
      <c r="C52" s="74">
        <f>VLOOKUP(B52,[1]SponsoredResearch!$B$7:$L$81,11,FALSE)</f>
        <v>8029</v>
      </c>
      <c r="D52" s="75">
        <f t="shared" si="6"/>
        <v>6.5541999999999998</v>
      </c>
      <c r="E52" s="76">
        <f>(5990)+((690)/3.5)</f>
        <v>6187.1428571428569</v>
      </c>
      <c r="F52" s="77">
        <f t="shared" si="7"/>
        <v>7.0298376109135018E-3</v>
      </c>
      <c r="G52" s="78">
        <f>(330)+((250)/3.5)</f>
        <v>401.42857142857144</v>
      </c>
      <c r="H52" s="77">
        <f t="shared" si="8"/>
        <v>2.5558256908687895E-3</v>
      </c>
      <c r="I52" s="78">
        <f>SUMIF('[1]UC Enrolment Data'!$A$3:$A$90,B52,'[1]UC Enrolment Data'!$T$3:$T$90)</f>
        <v>6356.6190476190486</v>
      </c>
      <c r="J52" s="75">
        <f t="shared" si="9"/>
        <v>6.8121</v>
      </c>
      <c r="K52" s="78">
        <f>VLOOKUP(B52,[1]Faculty!$B$7:$K$81,10,FALSE)</f>
        <v>254</v>
      </c>
      <c r="L52" s="79">
        <f t="shared" si="10"/>
        <v>5.9279000000000002</v>
      </c>
      <c r="M52" s="87">
        <f t="shared" si="11"/>
        <v>6</v>
      </c>
      <c r="N52" s="81">
        <f t="shared" si="12"/>
        <v>6.4314</v>
      </c>
      <c r="O52" s="88">
        <v>6</v>
      </c>
      <c r="P52" s="83">
        <v>7</v>
      </c>
      <c r="Q52" s="84">
        <v>7</v>
      </c>
      <c r="R52" s="85">
        <v>7</v>
      </c>
      <c r="S52" s="86">
        <v>7</v>
      </c>
    </row>
    <row r="53" spans="1:19" x14ac:dyDescent="0.2">
      <c r="A53" s="72"/>
      <c r="B53" s="92" t="s">
        <v>50</v>
      </c>
      <c r="C53" s="93">
        <f>VLOOKUP(B53,[1]SponsoredResearch!$B$7:$L$81,11,FALSE)</f>
        <v>1399</v>
      </c>
      <c r="D53" s="94">
        <f t="shared" si="6"/>
        <v>4.0879000000000003</v>
      </c>
      <c r="E53" s="95">
        <f>4050+(7540/3.5)</f>
        <v>6204.2857142857138</v>
      </c>
      <c r="F53" s="96">
        <f t="shared" si="7"/>
        <v>7.0493153415371367E-3</v>
      </c>
      <c r="G53" s="97">
        <v>0</v>
      </c>
      <c r="H53" s="96">
        <f t="shared" si="8"/>
        <v>0</v>
      </c>
      <c r="I53" s="97">
        <f>SUMIF('[1]UC Enrolment Data'!$A$3:$A$90,B53,'[1]UC Enrolment Data'!$T$3:$T$90)</f>
        <v>11693.142857142857</v>
      </c>
      <c r="J53" s="94">
        <f t="shared" si="9"/>
        <v>8.2471999999999994</v>
      </c>
      <c r="K53" s="97">
        <f>VLOOKUP(B53,[1]Faculty!$B$7:$K$81,10,FALSE)</f>
        <v>415</v>
      </c>
      <c r="L53" s="98">
        <f t="shared" si="10"/>
        <v>7.4061000000000003</v>
      </c>
      <c r="M53" s="99">
        <f>ROUND((D53+J53+L53)/3,0)</f>
        <v>7</v>
      </c>
      <c r="N53" s="100">
        <f>(D53+J53+L53)/3</f>
        <v>6.5804</v>
      </c>
      <c r="O53" s="88">
        <v>6</v>
      </c>
      <c r="P53" s="83">
        <v>6</v>
      </c>
      <c r="Q53" s="84">
        <v>6</v>
      </c>
      <c r="R53" s="85">
        <v>6</v>
      </c>
      <c r="S53" s="86">
        <v>6</v>
      </c>
    </row>
    <row r="54" spans="1:19" x14ac:dyDescent="0.2">
      <c r="A54" s="72"/>
      <c r="B54" s="92" t="s">
        <v>51</v>
      </c>
      <c r="C54" s="93">
        <f>VLOOKUP(B54,[1]SponsoredResearch!$B$7:$L$81,11,FALSE)</f>
        <v>11731</v>
      </c>
      <c r="D54" s="94">
        <f t="shared" si="6"/>
        <v>7.0892999999999997</v>
      </c>
      <c r="E54" s="95">
        <f>(4570)+((620)/3.5)</f>
        <v>4747.1428571428569</v>
      </c>
      <c r="F54" s="96">
        <f t="shared" si="7"/>
        <v>5.3937082385281847E-3</v>
      </c>
      <c r="G54" s="97">
        <f>(400)+((340)/3.5)</f>
        <v>497.14285714285711</v>
      </c>
      <c r="H54" s="96">
        <f t="shared" si="8"/>
        <v>3.1652218520367924E-3</v>
      </c>
      <c r="I54" s="97">
        <f>SUMIF('[1]UC Enrolment Data'!$A$3:$A$90,B54,'[1]UC Enrolment Data'!$T$3:$T$90)</f>
        <v>4501.6190476190468</v>
      </c>
      <c r="J54" s="94">
        <f t="shared" si="9"/>
        <v>5.9996999999999998</v>
      </c>
      <c r="K54" s="97">
        <f>VLOOKUP(B54,[1]Faculty!$B$7:$K$81,10,FALSE)</f>
        <v>298.33333333333331</v>
      </c>
      <c r="L54" s="98">
        <f t="shared" si="10"/>
        <v>6.4123000000000001</v>
      </c>
      <c r="M54" s="99">
        <f>ROUND((D54+J54+L54)/3,0)</f>
        <v>7</v>
      </c>
      <c r="N54" s="100">
        <f>(D54+J54+L54)/3</f>
        <v>6.5004333333333335</v>
      </c>
      <c r="O54" s="88">
        <v>6</v>
      </c>
      <c r="P54" s="83">
        <v>6</v>
      </c>
      <c r="Q54" s="84">
        <v>6</v>
      </c>
      <c r="R54" s="85">
        <v>6</v>
      </c>
      <c r="S54" s="86">
        <v>7</v>
      </c>
    </row>
    <row r="55" spans="1:19" x14ac:dyDescent="0.2">
      <c r="A55" s="72"/>
      <c r="B55" s="73" t="s">
        <v>52</v>
      </c>
      <c r="C55" s="74">
        <f>VLOOKUP(B55,[1]SponsoredResearch!$B$7:$L$81,11,FALSE)</f>
        <v>11109</v>
      </c>
      <c r="D55" s="75">
        <f t="shared" si="6"/>
        <v>7.0124000000000004</v>
      </c>
      <c r="E55" s="76">
        <f>(7500)+((450)/3.5)</f>
        <v>7628.5714285714284</v>
      </c>
      <c r="F55" s="77">
        <f t="shared" si="7"/>
        <v>8.667590127517456E-3</v>
      </c>
      <c r="G55" s="78">
        <f>(300)+((140)/3.5)</f>
        <v>340</v>
      </c>
      <c r="H55" s="77">
        <f t="shared" si="8"/>
        <v>2.1647206919102203E-3</v>
      </c>
      <c r="I55" s="78">
        <f>SUMIF('[1]UC Enrolment Data'!$A$3:$A$90,B55,'[1]UC Enrolment Data'!$T$3:$T$90)</f>
        <v>9527.1428571428569</v>
      </c>
      <c r="J55" s="75">
        <f t="shared" si="9"/>
        <v>7.7648000000000001</v>
      </c>
      <c r="K55" s="78">
        <f>VLOOKUP(B55,[1]Faculty!$B$7:$K$81,10,FALSE)</f>
        <v>269</v>
      </c>
      <c r="L55" s="79">
        <f t="shared" si="10"/>
        <v>6.1006</v>
      </c>
      <c r="M55" s="87">
        <f>ROUND((D55+J55+L55)/3,0)</f>
        <v>7</v>
      </c>
      <c r="N55" s="81">
        <f>(D55+J55+L55)/3</f>
        <v>6.9592666666666672</v>
      </c>
      <c r="O55" s="88">
        <v>7</v>
      </c>
      <c r="P55" s="83">
        <v>7</v>
      </c>
      <c r="Q55" s="84">
        <v>6</v>
      </c>
      <c r="R55" s="85">
        <v>6</v>
      </c>
      <c r="S55" s="86">
        <v>6</v>
      </c>
    </row>
    <row r="56" spans="1:19" x14ac:dyDescent="0.2">
      <c r="A56" s="72"/>
      <c r="B56" s="73" t="s">
        <v>53</v>
      </c>
      <c r="C56" s="74">
        <f>VLOOKUP(B56,[1]SponsoredResearch!$B$7:$L$81,11,FALSE)</f>
        <v>3113</v>
      </c>
      <c r="D56" s="75">
        <f t="shared" si="6"/>
        <v>5.2168000000000001</v>
      </c>
      <c r="E56" s="76">
        <f>10040+(2220/3.5)</f>
        <v>10674.285714285714</v>
      </c>
      <c r="F56" s="77">
        <f t="shared" si="7"/>
        <v>1.2128133601649892E-2</v>
      </c>
      <c r="G56" s="78">
        <v>0</v>
      </c>
      <c r="H56" s="77">
        <f t="shared" si="8"/>
        <v>0</v>
      </c>
      <c r="I56" s="78">
        <f>SUMIF('[1]UC Enrolment Data'!$A$3:$A$90,B56,'[1]UC Enrolment Data'!$T$3:$T$90)</f>
        <v>10075.285714285716</v>
      </c>
      <c r="J56" s="75">
        <f t="shared" si="9"/>
        <v>7.8964999999999996</v>
      </c>
      <c r="K56" s="78">
        <f>VLOOKUP(B56,[1]Faculty!$B$7:$K$81,10,FALSE)</f>
        <v>345</v>
      </c>
      <c r="L56" s="79">
        <f t="shared" si="10"/>
        <v>6.8498999999999999</v>
      </c>
      <c r="M56" s="87">
        <f t="shared" si="11"/>
        <v>7</v>
      </c>
      <c r="N56" s="81">
        <f t="shared" si="12"/>
        <v>6.6543999999999999</v>
      </c>
      <c r="O56" s="88">
        <v>7</v>
      </c>
      <c r="P56" s="83">
        <v>7</v>
      </c>
      <c r="Q56" s="84">
        <v>7</v>
      </c>
      <c r="R56" s="85">
        <v>7</v>
      </c>
      <c r="S56" s="86">
        <v>6</v>
      </c>
    </row>
    <row r="57" spans="1:19" x14ac:dyDescent="0.2">
      <c r="A57" s="72"/>
      <c r="B57" s="73" t="s">
        <v>54</v>
      </c>
      <c r="C57" s="74">
        <f>VLOOKUP(B57,[1]SponsoredResearch!$B$7:$L$81,11,FALSE)</f>
        <v>27964</v>
      </c>
      <c r="D57" s="75">
        <f t="shared" si="6"/>
        <v>8.3155000000000001</v>
      </c>
      <c r="E57" s="76">
        <f>(3180)+((1710)/3.5)</f>
        <v>3668.5714285714284</v>
      </c>
      <c r="F57" s="77">
        <f t="shared" si="7"/>
        <v>4.1682343534578323E-3</v>
      </c>
      <c r="G57" s="78">
        <f>(710)+((560)/3.5)</f>
        <v>870</v>
      </c>
      <c r="H57" s="77">
        <f t="shared" si="8"/>
        <v>5.5391382410643871E-3</v>
      </c>
      <c r="I57" s="78">
        <f>SUMIF('[1]UC Enrolment Data'!$A$3:$A$90,B57,'[1]UC Enrolment Data'!$T$3:$T$90)</f>
        <v>7064.8095238095239</v>
      </c>
      <c r="J57" s="75">
        <f t="shared" si="9"/>
        <v>7.0608000000000004</v>
      </c>
      <c r="K57" s="78">
        <f>VLOOKUP(B57,[1]Faculty!$B$7:$K$81,10,FALSE)</f>
        <v>210</v>
      </c>
      <c r="L57" s="79">
        <f t="shared" si="10"/>
        <v>5.3551000000000002</v>
      </c>
      <c r="M57" s="87">
        <f t="shared" si="11"/>
        <v>7</v>
      </c>
      <c r="N57" s="81">
        <f t="shared" si="12"/>
        <v>6.9104666666666672</v>
      </c>
      <c r="O57" s="88">
        <v>7</v>
      </c>
      <c r="P57" s="83">
        <v>7</v>
      </c>
      <c r="Q57" s="84">
        <v>7</v>
      </c>
      <c r="R57" s="85">
        <v>7</v>
      </c>
      <c r="S57" s="86">
        <v>6</v>
      </c>
    </row>
    <row r="58" spans="1:19" x14ac:dyDescent="0.2">
      <c r="A58" s="72"/>
      <c r="B58" s="73" t="s">
        <v>55</v>
      </c>
      <c r="C58" s="74">
        <f>VLOOKUP(B58,[1]SponsoredResearch!$B$7:$L$81,11,FALSE)</f>
        <v>23341</v>
      </c>
      <c r="D58" s="75">
        <f t="shared" si="6"/>
        <v>8.0603999999999996</v>
      </c>
      <c r="E58" s="76">
        <f>(3470)+((1960)/3.5)</f>
        <v>4030</v>
      </c>
      <c r="F58" s="77">
        <f t="shared" si="7"/>
        <v>4.5788898407727987E-3</v>
      </c>
      <c r="G58" s="78">
        <f>(670)+((430)/3.5)</f>
        <v>792.85714285714289</v>
      </c>
      <c r="H58" s="77">
        <f t="shared" si="8"/>
        <v>5.0479831260931609E-3</v>
      </c>
      <c r="I58" s="78">
        <f>SUMIF('[1]UC Enrolment Data'!$A$3:$A$90,B58,'[1]UC Enrolment Data'!$T$3:$T$90)</f>
        <v>5171.8571428571431</v>
      </c>
      <c r="J58" s="75">
        <f t="shared" si="9"/>
        <v>6.3265000000000002</v>
      </c>
      <c r="K58" s="78">
        <f>VLOOKUP(B58,[1]Faculty!$B$7:$K$81,10,FALSE)</f>
        <v>241</v>
      </c>
      <c r="L58" s="79">
        <f t="shared" si="10"/>
        <v>5.7697000000000003</v>
      </c>
      <c r="M58" s="87">
        <f t="shared" si="11"/>
        <v>7</v>
      </c>
      <c r="N58" s="81">
        <f t="shared" si="12"/>
        <v>6.718866666666667</v>
      </c>
      <c r="O58" s="88">
        <v>7</v>
      </c>
      <c r="P58" s="83">
        <v>7</v>
      </c>
      <c r="Q58" s="84">
        <v>7</v>
      </c>
      <c r="R58" s="85">
        <v>7</v>
      </c>
      <c r="S58" s="86">
        <v>7</v>
      </c>
    </row>
    <row r="59" spans="1:19" x14ac:dyDescent="0.2">
      <c r="A59" s="72"/>
      <c r="B59" s="73" t="s">
        <v>56</v>
      </c>
      <c r="C59" s="74">
        <f>VLOOKUP(B59,[1]SponsoredResearch!$B$7:$L$81,11,FALSE)</f>
        <v>8891</v>
      </c>
      <c r="D59" s="75">
        <f t="shared" si="6"/>
        <v>6.6981000000000002</v>
      </c>
      <c r="E59" s="76">
        <f>(6400)+((3220)/3.5)</f>
        <v>7320</v>
      </c>
      <c r="F59" s="77">
        <f t="shared" si="7"/>
        <v>8.3169909762920314E-3</v>
      </c>
      <c r="G59" s="78">
        <f>(150)+((330)/3.5)</f>
        <v>244.28571428571428</v>
      </c>
      <c r="H59" s="77">
        <f t="shared" si="8"/>
        <v>1.555324530742217E-3</v>
      </c>
      <c r="I59" s="78">
        <f>SUMIF('[1]UC Enrolment Data'!$A$3:$A$90,B59,'[1]UC Enrolment Data'!$T$3:$T$90)</f>
        <v>8033.9523809523807</v>
      </c>
      <c r="J59" s="75">
        <f t="shared" si="9"/>
        <v>7.3635000000000002</v>
      </c>
      <c r="K59" s="78">
        <f>VLOOKUP(B59,[1]Faculty!$B$7:$K$81,10,FALSE)</f>
        <v>335</v>
      </c>
      <c r="L59" s="79">
        <f t="shared" si="10"/>
        <v>6.7613000000000003</v>
      </c>
      <c r="M59" s="87">
        <f t="shared" si="11"/>
        <v>7</v>
      </c>
      <c r="N59" s="81">
        <f t="shared" si="12"/>
        <v>6.9409666666666672</v>
      </c>
      <c r="O59" s="88">
        <v>7</v>
      </c>
      <c r="P59" s="83">
        <v>7</v>
      </c>
      <c r="Q59" s="84">
        <v>7</v>
      </c>
      <c r="R59" s="85">
        <v>7</v>
      </c>
      <c r="S59" s="86">
        <v>7</v>
      </c>
    </row>
    <row r="60" spans="1:19" x14ac:dyDescent="0.2">
      <c r="A60" s="72"/>
      <c r="B60" s="73" t="s">
        <v>57</v>
      </c>
      <c r="C60" s="74">
        <f>VLOOKUP(B60,[1]SponsoredResearch!$B$7:$L$81,11,FALSE)</f>
        <v>11717</v>
      </c>
      <c r="D60" s="75">
        <f t="shared" si="6"/>
        <v>7.0876999999999999</v>
      </c>
      <c r="E60" s="76">
        <f>(6500)+((1000)/3.5)</f>
        <v>6785.7142857142853</v>
      </c>
      <c r="F60" s="77">
        <f t="shared" si="7"/>
        <v>7.7099350385220816E-3</v>
      </c>
      <c r="G60" s="78">
        <f>(380)+((60)/3.5)</f>
        <v>397.14285714285717</v>
      </c>
      <c r="H60" s="77">
        <f t="shared" si="8"/>
        <v>2.5285392955926105E-3</v>
      </c>
      <c r="I60" s="78">
        <f>SUMIF('[1]UC Enrolment Data'!$A$3:$A$90,B60,'[1]UC Enrolment Data'!$T$3:$T$90)</f>
        <v>9299.0476190476184</v>
      </c>
      <c r="J60" s="75">
        <f t="shared" si="9"/>
        <v>7.7077999999999998</v>
      </c>
      <c r="K60" s="78">
        <f>VLOOKUP(B60,[1]Faculty!$B$7:$K$81,10,FALSE)</f>
        <v>249</v>
      </c>
      <c r="L60" s="79">
        <f t="shared" si="10"/>
        <v>5.8680000000000003</v>
      </c>
      <c r="M60" s="87">
        <f t="shared" si="11"/>
        <v>7</v>
      </c>
      <c r="N60" s="81">
        <f t="shared" si="12"/>
        <v>6.887833333333333</v>
      </c>
      <c r="O60" s="88">
        <v>7</v>
      </c>
      <c r="P60" s="83">
        <v>7</v>
      </c>
      <c r="Q60" s="84">
        <v>7</v>
      </c>
      <c r="R60" s="85">
        <v>7</v>
      </c>
      <c r="S60" s="86">
        <v>7</v>
      </c>
    </row>
    <row r="61" spans="1:19" x14ac:dyDescent="0.2">
      <c r="A61" s="72"/>
      <c r="B61" s="73" t="s">
        <v>58</v>
      </c>
      <c r="C61" s="74">
        <f>VLOOKUP(B61,[1]SponsoredResearch!$B$7:$L$81,11,FALSE)</f>
        <v>21068</v>
      </c>
      <c r="D61" s="75">
        <f t="shared" si="6"/>
        <v>7.9157999999999999</v>
      </c>
      <c r="E61" s="76">
        <f>(4470)+((4610)/3.5)</f>
        <v>5787.1428571428569</v>
      </c>
      <c r="F61" s="77">
        <f t="shared" si="7"/>
        <v>6.5753572296953586E-3</v>
      </c>
      <c r="G61" s="78">
        <f>(1400)+((1610)/3.5)</f>
        <v>1860</v>
      </c>
      <c r="H61" s="77">
        <f t="shared" si="8"/>
        <v>1.1842295549861794E-2</v>
      </c>
      <c r="I61" s="78">
        <f>SUMIF('[1]UC Enrolment Data'!$A$3:$A$90,B61,'[1]UC Enrolment Data'!$T$3:$T$90)</f>
        <v>8959.9047619047615</v>
      </c>
      <c r="J61" s="75">
        <f t="shared" si="9"/>
        <v>7.6203000000000003</v>
      </c>
      <c r="K61" s="78">
        <f>VLOOKUP(B61,[1]Faculty!$B$7:$K$81,10,FALSE)</f>
        <v>284</v>
      </c>
      <c r="L61" s="79">
        <f t="shared" si="10"/>
        <v>6.2640000000000002</v>
      </c>
      <c r="M61" s="87">
        <f t="shared" si="11"/>
        <v>7</v>
      </c>
      <c r="N61" s="81">
        <f t="shared" si="12"/>
        <v>7.2667000000000002</v>
      </c>
      <c r="O61" s="88">
        <v>7</v>
      </c>
      <c r="P61" s="83">
        <v>7</v>
      </c>
      <c r="Q61" s="84">
        <v>7</v>
      </c>
      <c r="R61" s="85">
        <v>7</v>
      </c>
      <c r="S61" s="86">
        <v>7</v>
      </c>
    </row>
    <row r="62" spans="1:19" x14ac:dyDescent="0.2">
      <c r="A62" s="72"/>
      <c r="B62" s="73" t="s">
        <v>59</v>
      </c>
      <c r="C62" s="74">
        <f>VLOOKUP(B62,[1]SponsoredResearch!$B$7:$L$81,11,FALSE)</f>
        <v>21142</v>
      </c>
      <c r="D62" s="75">
        <f t="shared" si="6"/>
        <v>7.9207000000000001</v>
      </c>
      <c r="E62" s="76">
        <f>(6500)+((1600)/3.5)</f>
        <v>6957.1428571428569</v>
      </c>
      <c r="F62" s="77">
        <f t="shared" si="7"/>
        <v>7.9047123447584296E-3</v>
      </c>
      <c r="G62" s="78">
        <f>(680)+((30)/3.5)</f>
        <v>688.57142857142856</v>
      </c>
      <c r="H62" s="77">
        <f t="shared" si="8"/>
        <v>4.3840141743727986E-3</v>
      </c>
      <c r="I62" s="78">
        <f>SUMIF('[1]UC Enrolment Data'!$A$3:$A$90,B62,'[1]UC Enrolment Data'!$T$3:$T$90)</f>
        <v>7633.333333333333</v>
      </c>
      <c r="J62" s="75">
        <f t="shared" si="9"/>
        <v>7.2430000000000003</v>
      </c>
      <c r="K62" s="78">
        <f>VLOOKUP(B62,[1]Faculty!$B$7:$K$81,10,FALSE)</f>
        <v>333</v>
      </c>
      <c r="L62" s="79">
        <f t="shared" si="10"/>
        <v>6.7432999999999996</v>
      </c>
      <c r="M62" s="87">
        <f t="shared" si="11"/>
        <v>7</v>
      </c>
      <c r="N62" s="81">
        <f t="shared" si="12"/>
        <v>7.3023333333333333</v>
      </c>
      <c r="O62" s="88">
        <v>7</v>
      </c>
      <c r="P62" s="83">
        <v>7</v>
      </c>
      <c r="Q62" s="84">
        <v>7</v>
      </c>
      <c r="R62" s="85">
        <v>7</v>
      </c>
      <c r="S62" s="86">
        <v>7</v>
      </c>
    </row>
    <row r="63" spans="1:19" x14ac:dyDescent="0.2">
      <c r="A63" s="72"/>
      <c r="B63" s="73" t="s">
        <v>60</v>
      </c>
      <c r="C63" s="74">
        <f>VLOOKUP(B63,[1]SponsoredResearch!$B$7:$L$81,11,FALSE)</f>
        <v>32173</v>
      </c>
      <c r="D63" s="75">
        <f t="shared" si="6"/>
        <v>8.5134000000000007</v>
      </c>
      <c r="E63" s="76">
        <f>(6400)+((2200)/3.5)</f>
        <v>7028.5714285714284</v>
      </c>
      <c r="F63" s="77">
        <f t="shared" si="7"/>
        <v>7.98586955569024E-3</v>
      </c>
      <c r="G63" s="78">
        <f>(410)+((380)/3.5)</f>
        <v>518.57142857142856</v>
      </c>
      <c r="H63" s="77">
        <f t="shared" si="8"/>
        <v>3.3016538284176889E-3</v>
      </c>
      <c r="I63" s="78">
        <f>SUMIF('[1]UC Enrolment Data'!$A$3:$A$90,B63,'[1]UC Enrolment Data'!$T$3:$T$90)</f>
        <v>7562.3809523809532</v>
      </c>
      <c r="J63" s="75">
        <f t="shared" si="9"/>
        <v>7.2210999999999999</v>
      </c>
      <c r="K63" s="78">
        <f>VLOOKUP(B63,[1]Faculty!$B$7:$K$81,10,FALSE)</f>
        <v>366</v>
      </c>
      <c r="L63" s="79">
        <f t="shared" si="10"/>
        <v>7.0278</v>
      </c>
      <c r="M63" s="87">
        <f t="shared" si="11"/>
        <v>8</v>
      </c>
      <c r="N63" s="81">
        <f t="shared" si="12"/>
        <v>7.5874333333333333</v>
      </c>
      <c r="O63" s="88">
        <v>8</v>
      </c>
      <c r="P63" s="83">
        <v>7</v>
      </c>
      <c r="Q63" s="84">
        <v>7</v>
      </c>
      <c r="R63" s="85">
        <v>7</v>
      </c>
      <c r="S63" s="86">
        <v>7</v>
      </c>
    </row>
    <row r="64" spans="1:19" x14ac:dyDescent="0.2">
      <c r="A64" s="72"/>
      <c r="B64" s="73" t="s">
        <v>61</v>
      </c>
      <c r="C64" s="74">
        <f>VLOOKUP(B64,[1]SponsoredResearch!$B$7:$L$81,11,FALSE)</f>
        <v>76392</v>
      </c>
      <c r="D64" s="75">
        <f t="shared" si="6"/>
        <v>9.7339000000000002</v>
      </c>
      <c r="E64" s="76">
        <f>(4390)+((870)/3.5)</f>
        <v>4638.5714285714284</v>
      </c>
      <c r="F64" s="77">
        <f t="shared" si="7"/>
        <v>5.2703492779118313E-3</v>
      </c>
      <c r="G64" s="78">
        <f>(1430)+((250)/3.5)</f>
        <v>1501.4285714285713</v>
      </c>
      <c r="H64" s="77">
        <f t="shared" si="8"/>
        <v>9.559333811754795E-3</v>
      </c>
      <c r="I64" s="78">
        <f>SUMIF('[1]UC Enrolment Data'!$A$3:$A$90,B64,'[1]UC Enrolment Data'!$T$3:$T$90)</f>
        <v>7321.7142857142862</v>
      </c>
      <c r="J64" s="75">
        <f t="shared" si="9"/>
        <v>7.1448999999999998</v>
      </c>
      <c r="K64" s="78">
        <f>VLOOKUP(B64,[1]Faculty!$B$7:$K$81,10,FALSE)</f>
        <v>257</v>
      </c>
      <c r="L64" s="79">
        <f t="shared" si="10"/>
        <v>5.9631999999999996</v>
      </c>
      <c r="M64" s="87">
        <f t="shared" si="11"/>
        <v>8</v>
      </c>
      <c r="N64" s="81">
        <f t="shared" si="12"/>
        <v>7.6139999999999999</v>
      </c>
      <c r="O64" s="88">
        <v>8</v>
      </c>
      <c r="P64" s="83">
        <v>8</v>
      </c>
      <c r="Q64" s="84">
        <v>7</v>
      </c>
      <c r="R64" s="85">
        <v>7</v>
      </c>
      <c r="S64" s="86">
        <v>7</v>
      </c>
    </row>
    <row r="65" spans="1:19" x14ac:dyDescent="0.2">
      <c r="A65" s="72"/>
      <c r="B65" s="73" t="s">
        <v>62</v>
      </c>
      <c r="C65" s="74">
        <f>VLOOKUP(B65,[1]SponsoredResearch!$B$7:$L$81,11,FALSE)</f>
        <v>17348</v>
      </c>
      <c r="D65" s="75">
        <f t="shared" si="6"/>
        <v>7.6416000000000004</v>
      </c>
      <c r="E65" s="76">
        <f>(6930)+((650)/3.5)</f>
        <v>7115.7142857142853</v>
      </c>
      <c r="F65" s="77">
        <f t="shared" si="7"/>
        <v>8.0848813530270507E-3</v>
      </c>
      <c r="G65" s="78">
        <f>(330)+((180)/3.5)</f>
        <v>381.42857142857144</v>
      </c>
      <c r="H65" s="77">
        <f t="shared" si="8"/>
        <v>2.4284891795799532E-3</v>
      </c>
      <c r="I65" s="78">
        <f>SUMIF('[1]UC Enrolment Data'!$A$3:$A$90,B65,'[1]UC Enrolment Data'!$T$3:$T$90)</f>
        <v>8213.4285714285706</v>
      </c>
      <c r="J65" s="75">
        <f t="shared" si="9"/>
        <v>7.4154999999999998</v>
      </c>
      <c r="K65" s="78">
        <f>VLOOKUP(B65,[1]Faculty!$B$7:$K$81,10,FALSE)</f>
        <v>442</v>
      </c>
      <c r="L65" s="79">
        <f t="shared" si="10"/>
        <v>7.5959000000000003</v>
      </c>
      <c r="M65" s="87">
        <f t="shared" si="11"/>
        <v>8</v>
      </c>
      <c r="N65" s="81">
        <f t="shared" si="12"/>
        <v>7.5509999999999993</v>
      </c>
      <c r="O65" s="88">
        <v>8</v>
      </c>
      <c r="P65" s="83">
        <v>8</v>
      </c>
      <c r="Q65" s="84">
        <v>8</v>
      </c>
      <c r="R65" s="85">
        <v>8</v>
      </c>
      <c r="S65" s="86">
        <v>8</v>
      </c>
    </row>
    <row r="66" spans="1:19" x14ac:dyDescent="0.2">
      <c r="A66" s="72"/>
      <c r="B66" s="73" t="s">
        <v>63</v>
      </c>
      <c r="C66" s="74">
        <f>VLOOKUP(B66,[1]SponsoredResearch!$B$7:$L$81,11,FALSE)</f>
        <v>20495</v>
      </c>
      <c r="D66" s="75">
        <f t="shared" si="6"/>
        <v>7.8769</v>
      </c>
      <c r="E66" s="76">
        <f>(6350)+((3880)/3.5)</f>
        <v>7458.5714285714284</v>
      </c>
      <c r="F66" s="77">
        <f t="shared" si="7"/>
        <v>8.474435965499745E-3</v>
      </c>
      <c r="G66" s="78">
        <f>(1190)+((740)/3.5)</f>
        <v>1401.4285714285713</v>
      </c>
      <c r="H66" s="77">
        <f t="shared" si="8"/>
        <v>8.9226512553106131E-3</v>
      </c>
      <c r="I66" s="78">
        <f>SUMIF('[1]UC Enrolment Data'!$A$3:$A$90,B66,'[1]UC Enrolment Data'!$T$3:$T$90)</f>
        <v>10336.238095238097</v>
      </c>
      <c r="J66" s="75">
        <f t="shared" si="9"/>
        <v>7.9568000000000003</v>
      </c>
      <c r="K66" s="78">
        <f>VLOOKUP(B66,[1]Faculty!$B$7:$K$81,10,FALSE)</f>
        <v>435</v>
      </c>
      <c r="L66" s="79">
        <f t="shared" si="10"/>
        <v>7.5477999999999996</v>
      </c>
      <c r="M66" s="87">
        <f t="shared" si="11"/>
        <v>8</v>
      </c>
      <c r="N66" s="81">
        <f t="shared" si="12"/>
        <v>7.7938333333333327</v>
      </c>
      <c r="O66" s="88">
        <v>8</v>
      </c>
      <c r="P66" s="83">
        <v>8</v>
      </c>
      <c r="Q66" s="84">
        <v>8</v>
      </c>
      <c r="R66" s="85">
        <v>8</v>
      </c>
      <c r="S66" s="86">
        <v>8</v>
      </c>
    </row>
    <row r="67" spans="1:19" x14ac:dyDescent="0.2">
      <c r="A67" s="72"/>
      <c r="B67" s="73" t="s">
        <v>64</v>
      </c>
      <c r="C67" s="74">
        <f>VLOOKUP(B67,[1]SponsoredResearch!$B$7:$L$81,11,FALSE)</f>
        <v>17322</v>
      </c>
      <c r="D67" s="75">
        <f t="shared" si="6"/>
        <v>7.6394000000000002</v>
      </c>
      <c r="E67" s="76">
        <f>((9150)+((2150)/3.5))+ (660+(90/3.5))</f>
        <v>10450</v>
      </c>
      <c r="F67" s="77">
        <f t="shared" si="7"/>
        <v>1.1873299959324006E-2</v>
      </c>
      <c r="G67" s="78">
        <f>((760)+((810)/3.5))</f>
        <v>991.42857142857144</v>
      </c>
      <c r="H67" s="77">
        <f t="shared" si="8"/>
        <v>6.3122527738894664E-3</v>
      </c>
      <c r="I67" s="78">
        <f>SUMIF('[1]UC Enrolment Data'!$A$3:$A$90,B67,'[1]UC Enrolment Data'!$T$3:$T$90)</f>
        <v>12502.476190476193</v>
      </c>
      <c r="J67" s="75">
        <f t="shared" si="9"/>
        <v>8.4047000000000001</v>
      </c>
      <c r="K67" s="78">
        <f>VLOOKUP(B67,[1]Faculty!$B$7:$K$81,10,FALSE)</f>
        <v>478</v>
      </c>
      <c r="L67" s="79">
        <f t="shared" si="10"/>
        <v>7.8316999999999997</v>
      </c>
      <c r="M67" s="87">
        <f t="shared" si="11"/>
        <v>8</v>
      </c>
      <c r="N67" s="81">
        <f t="shared" si="12"/>
        <v>7.9585999999999997</v>
      </c>
      <c r="O67" s="88">
        <v>8</v>
      </c>
      <c r="P67" s="83">
        <v>8</v>
      </c>
      <c r="Q67" s="84">
        <v>8</v>
      </c>
      <c r="R67" s="85">
        <v>8</v>
      </c>
      <c r="S67" s="86">
        <v>8</v>
      </c>
    </row>
    <row r="68" spans="1:19" x14ac:dyDescent="0.2">
      <c r="A68" s="72"/>
      <c r="B68" s="73" t="s">
        <v>65</v>
      </c>
      <c r="C68" s="74">
        <f>VLOOKUP(B68,[1]SponsoredResearch!$B$7:$L$81,11,FALSE)</f>
        <v>16944</v>
      </c>
      <c r="D68" s="75">
        <f t="shared" si="6"/>
        <v>7.6082999999999998</v>
      </c>
      <c r="E68" s="76">
        <f>(14800)+((2000)/3.5)</f>
        <v>15371.428571428571</v>
      </c>
      <c r="F68" s="77">
        <f t="shared" si="7"/>
        <v>1.7465031792525811E-2</v>
      </c>
      <c r="G68" s="78">
        <f>(910)+((640)/3.5)</f>
        <v>1092.8571428571429</v>
      </c>
      <c r="H68" s="77">
        <f t="shared" si="8"/>
        <v>6.9580307954257084E-3</v>
      </c>
      <c r="I68" s="78">
        <f>SUMIF('[1]UC Enrolment Data'!$A$3:$A$90,B68,'[1]UC Enrolment Data'!$T$3:$T$90)</f>
        <v>17619.047619047618</v>
      </c>
      <c r="J68" s="75">
        <f t="shared" si="9"/>
        <v>9.2124000000000006</v>
      </c>
      <c r="K68" s="78">
        <f>VLOOKUP(B68,[1]Faculty!$B$7:$K$81,10,FALSE)</f>
        <v>550</v>
      </c>
      <c r="L68" s="79">
        <f t="shared" si="10"/>
        <v>8.2540999999999993</v>
      </c>
      <c r="M68" s="87">
        <f t="shared" si="11"/>
        <v>8</v>
      </c>
      <c r="N68" s="81">
        <f t="shared" si="12"/>
        <v>8.3582666666666672</v>
      </c>
      <c r="O68" s="88">
        <v>8</v>
      </c>
      <c r="P68" s="83">
        <v>8</v>
      </c>
      <c r="Q68" s="84">
        <v>8</v>
      </c>
      <c r="R68" s="85">
        <v>8</v>
      </c>
      <c r="S68" s="86">
        <v>8</v>
      </c>
    </row>
    <row r="69" spans="1:19" x14ac:dyDescent="0.2">
      <c r="A69" s="72"/>
      <c r="B69" s="73" t="s">
        <v>66</v>
      </c>
      <c r="C69" s="74">
        <f>VLOOKUP(B69,[1]SponsoredResearch!$B$7:$L$81,11,FALSE)</f>
        <v>14483</v>
      </c>
      <c r="D69" s="75">
        <f t="shared" si="6"/>
        <v>7.3868</v>
      </c>
      <c r="E69" s="76">
        <f>(14600)+((2100)/3.5)</f>
        <v>15200</v>
      </c>
      <c r="F69" s="77">
        <f t="shared" si="7"/>
        <v>1.7270254486289462E-2</v>
      </c>
      <c r="G69" s="78">
        <f>(1000)+((500)/3.5)</f>
        <v>1142.8571428571429</v>
      </c>
      <c r="H69" s="77">
        <f t="shared" si="8"/>
        <v>7.2763720736477994E-3</v>
      </c>
      <c r="I69" s="78">
        <f>SUMIF('[1]UC Enrolment Data'!$A$3:$A$90,B69,'[1]UC Enrolment Data'!$T$3:$T$90)</f>
        <v>17358.095238095237</v>
      </c>
      <c r="J69" s="75">
        <f t="shared" si="9"/>
        <v>9.1773000000000007</v>
      </c>
      <c r="K69" s="78">
        <f>VLOOKUP(B69,[1]Faculty!$B$7:$K$81,10,FALSE)</f>
        <v>578</v>
      </c>
      <c r="L69" s="79">
        <f t="shared" si="10"/>
        <v>8.4036000000000008</v>
      </c>
      <c r="M69" s="87">
        <f t="shared" si="11"/>
        <v>8</v>
      </c>
      <c r="N69" s="81">
        <f t="shared" si="12"/>
        <v>8.3225666666666669</v>
      </c>
      <c r="O69" s="88">
        <v>8</v>
      </c>
      <c r="P69" s="83">
        <v>8</v>
      </c>
      <c r="Q69" s="84">
        <v>8</v>
      </c>
      <c r="R69" s="85">
        <v>8</v>
      </c>
      <c r="S69" s="86">
        <v>8</v>
      </c>
    </row>
    <row r="70" spans="1:19" x14ac:dyDescent="0.2">
      <c r="A70" s="72"/>
      <c r="B70" s="73" t="s">
        <v>67</v>
      </c>
      <c r="C70" s="74">
        <f>VLOOKUP(B70,[1]SponsoredResearch!$B$7:$L$81,11,FALSE)</f>
        <v>28149</v>
      </c>
      <c r="D70" s="75">
        <f t="shared" si="6"/>
        <v>8.3247999999999998</v>
      </c>
      <c r="E70" s="76">
        <f>(11700)+((2400)/3.5)</f>
        <v>12385.714285714286</v>
      </c>
      <c r="F70" s="77">
        <f t="shared" si="7"/>
        <v>1.4072660375576095E-2</v>
      </c>
      <c r="G70" s="78">
        <f>(1700)+((120)/3.5)</f>
        <v>1734.2857142857142</v>
      </c>
      <c r="H70" s="77">
        <f t="shared" si="8"/>
        <v>1.1041894621760535E-2</v>
      </c>
      <c r="I70" s="78">
        <f>SUMIF('[1]UC Enrolment Data'!$A$3:$A$90,B70,'[1]UC Enrolment Data'!$T$3:$T$90)</f>
        <v>14948.571428571428</v>
      </c>
      <c r="J70" s="75">
        <f t="shared" si="9"/>
        <v>8.8254000000000001</v>
      </c>
      <c r="K70" s="78">
        <f>VLOOKUP(B70,[1]Faculty!$B$7:$K$81,10,FALSE)</f>
        <v>505</v>
      </c>
      <c r="L70" s="79">
        <f t="shared" si="10"/>
        <v>7.9970999999999997</v>
      </c>
      <c r="M70" s="87">
        <f t="shared" si="11"/>
        <v>8</v>
      </c>
      <c r="N70" s="81">
        <f t="shared" si="12"/>
        <v>8.3824333333333332</v>
      </c>
      <c r="O70" s="88">
        <v>8</v>
      </c>
      <c r="P70" s="83">
        <v>8</v>
      </c>
      <c r="Q70" s="84">
        <v>9</v>
      </c>
      <c r="R70" s="85">
        <v>9</v>
      </c>
      <c r="S70" s="86">
        <v>9</v>
      </c>
    </row>
    <row r="71" spans="1:19" x14ac:dyDescent="0.2">
      <c r="A71" s="72"/>
      <c r="B71" s="92" t="s">
        <v>68</v>
      </c>
      <c r="C71" s="93">
        <f>VLOOKUP(B71,[1]SponsoredResearch!$B$7:$L$81,11,FALSE)</f>
        <v>42377</v>
      </c>
      <c r="D71" s="94">
        <f t="shared" si="6"/>
        <v>8.9022000000000006</v>
      </c>
      <c r="E71" s="95">
        <f>(2490+(160/3.5))+((8250)+((1010)/3.5))</f>
        <v>11074.285714285716</v>
      </c>
      <c r="F71" s="96">
        <f t="shared" si="7"/>
        <v>1.2582613982868038E-2</v>
      </c>
      <c r="G71" s="97">
        <f>990+((460)/3.5)</f>
        <v>1121.4285714285713</v>
      </c>
      <c r="H71" s="96">
        <f t="shared" si="8"/>
        <v>7.1399400972669029E-3</v>
      </c>
      <c r="I71" s="97">
        <f>SUMIF('[1]UC Enrolment Data'!$A$3:$A$90,B71,'[1]UC Enrolment Data'!$T$3:$T$90)</f>
        <v>10634.476190476191</v>
      </c>
      <c r="J71" s="94">
        <f t="shared" si="9"/>
        <v>8.0236999999999998</v>
      </c>
      <c r="K71" s="97">
        <f>VLOOKUP(B71,[1]Faculty!$B$7:$K$81,10,FALSE)</f>
        <v>558</v>
      </c>
      <c r="L71" s="98">
        <f t="shared" si="10"/>
        <v>8.2975999999999992</v>
      </c>
      <c r="M71" s="99">
        <f t="shared" si="11"/>
        <v>8</v>
      </c>
      <c r="N71" s="100">
        <f t="shared" si="12"/>
        <v>8.4078333333333326</v>
      </c>
      <c r="O71" s="88">
        <v>9</v>
      </c>
      <c r="P71" s="83">
        <v>9</v>
      </c>
      <c r="Q71" s="84">
        <v>9</v>
      </c>
      <c r="R71" s="85">
        <v>9</v>
      </c>
      <c r="S71" s="86">
        <v>9</v>
      </c>
    </row>
    <row r="72" spans="1:19" x14ac:dyDescent="0.2">
      <c r="A72" s="72"/>
      <c r="B72" s="73" t="s">
        <v>69</v>
      </c>
      <c r="C72" s="74">
        <f>VLOOKUP(B72,[1]SponsoredResearch!$B$7:$L$81,11,FALSE)</f>
        <v>111037</v>
      </c>
      <c r="D72" s="75">
        <f t="shared" si="6"/>
        <v>10.261799999999999</v>
      </c>
      <c r="E72" s="76">
        <f>(12870)+((4280)/3.5)</f>
        <v>14092.857142857143</v>
      </c>
      <c r="F72" s="77">
        <f t="shared" si="7"/>
        <v>1.6012317716846386E-2</v>
      </c>
      <c r="G72" s="78">
        <f>(2940)+((230)/3.5)</f>
        <v>3005.7142857142858</v>
      </c>
      <c r="H72" s="77">
        <f t="shared" si="8"/>
        <v>1.9136858553693712E-2</v>
      </c>
      <c r="I72" s="78">
        <f>SUMIF('[1]UC Enrolment Data'!$A$3:$A$90,B72,'[1]UC Enrolment Data'!$T$3:$T$90)</f>
        <v>18675.61904761905</v>
      </c>
      <c r="J72" s="75">
        <f t="shared" si="9"/>
        <v>9.3496000000000006</v>
      </c>
      <c r="K72" s="78">
        <f>VLOOKUP(B72,[1]Faculty!$B$7:$K$81,10,FALSE)</f>
        <v>735</v>
      </c>
      <c r="L72" s="79">
        <f t="shared" si="10"/>
        <v>9.1272000000000002</v>
      </c>
      <c r="M72" s="87">
        <f t="shared" si="11"/>
        <v>10</v>
      </c>
      <c r="N72" s="81">
        <f t="shared" si="12"/>
        <v>9.5795333333333321</v>
      </c>
      <c r="O72" s="88">
        <v>10</v>
      </c>
      <c r="P72" s="83">
        <v>10</v>
      </c>
      <c r="Q72" s="84">
        <v>10</v>
      </c>
      <c r="R72" s="85">
        <v>10</v>
      </c>
      <c r="S72" s="86">
        <v>10</v>
      </c>
    </row>
    <row r="73" spans="1:19" x14ac:dyDescent="0.2">
      <c r="A73" s="72"/>
      <c r="B73" s="73" t="s">
        <v>70</v>
      </c>
      <c r="C73" s="74">
        <f>VLOOKUP(B73,[1]SponsoredResearch!$B$7:$L$81,11,FALSE)</f>
        <v>61116</v>
      </c>
      <c r="D73" s="75">
        <f t="shared" si="6"/>
        <v>9.4190000000000005</v>
      </c>
      <c r="E73" s="76">
        <f>(19100)+((4000)/3.5)</f>
        <v>20242.857142857141</v>
      </c>
      <c r="F73" s="77">
        <f t="shared" si="7"/>
        <v>2.2999953578075345E-2</v>
      </c>
      <c r="G73" s="78">
        <f>(2850)+((750)/3.5)</f>
        <v>3064.2857142857142</v>
      </c>
      <c r="H73" s="77">
        <f t="shared" si="8"/>
        <v>1.9509772622468162E-2</v>
      </c>
      <c r="I73" s="78">
        <f>SUMIF('[1]UC Enrolment Data'!$A$3:$A$90,B73,'[1]UC Enrolment Data'!$T$3:$T$90)</f>
        <v>27236.190476190473</v>
      </c>
      <c r="J73" s="75">
        <f t="shared" si="9"/>
        <v>10.238</v>
      </c>
      <c r="K73" s="78">
        <f>VLOOKUP(B73,[1]Faculty!$B$7:$K$81,10,FALSE)</f>
        <v>911</v>
      </c>
      <c r="L73" s="79">
        <f t="shared" si="10"/>
        <v>9.7736000000000001</v>
      </c>
      <c r="M73" s="87">
        <f t="shared" si="11"/>
        <v>10</v>
      </c>
      <c r="N73" s="81">
        <f t="shared" si="12"/>
        <v>9.8102</v>
      </c>
      <c r="O73" s="88">
        <v>10</v>
      </c>
      <c r="P73" s="83">
        <v>10</v>
      </c>
      <c r="Q73" s="84">
        <v>10</v>
      </c>
      <c r="R73" s="85">
        <v>10</v>
      </c>
      <c r="S73" s="86">
        <v>10</v>
      </c>
    </row>
    <row r="74" spans="1:19" x14ac:dyDescent="0.2">
      <c r="A74" s="72"/>
      <c r="B74" s="73" t="s">
        <v>71</v>
      </c>
      <c r="C74" s="74">
        <f>VLOOKUP(B74,[1]SponsoredResearch!$B$7:$L$81,11,FALSE)</f>
        <v>47875</v>
      </c>
      <c r="D74" s="75">
        <f t="shared" si="6"/>
        <v>9.0744000000000007</v>
      </c>
      <c r="E74" s="76">
        <f>(19400)+((14200)/3.5)</f>
        <v>23457.142857142859</v>
      </c>
      <c r="F74" s="77">
        <f t="shared" si="7"/>
        <v>2.6652028070006863E-2</v>
      </c>
      <c r="G74" s="78">
        <f>(1900)+((400)/3.5)</f>
        <v>2014.2857142857142</v>
      </c>
      <c r="H74" s="77">
        <f t="shared" si="8"/>
        <v>1.2824605779804247E-2</v>
      </c>
      <c r="I74" s="78">
        <f>SUMIF('[1]UC Enrolment Data'!$A$3:$A$90,B74,'[1]UC Enrolment Data'!$T$3:$T$90)</f>
        <v>34582.857142857145</v>
      </c>
      <c r="J74" s="75">
        <f t="shared" si="9"/>
        <v>10.8002</v>
      </c>
      <c r="K74" s="78">
        <f>VLOOKUP(B74,[1]Faculty!$B$7:$K$81,10,FALSE)</f>
        <v>1067</v>
      </c>
      <c r="L74" s="79">
        <f t="shared" si="10"/>
        <v>10.249499999999999</v>
      </c>
      <c r="M74" s="87">
        <f t="shared" si="11"/>
        <v>10</v>
      </c>
      <c r="N74" s="81">
        <f t="shared" si="12"/>
        <v>10.041366666666667</v>
      </c>
      <c r="O74" s="88">
        <v>10</v>
      </c>
      <c r="P74" s="83">
        <v>10</v>
      </c>
      <c r="Q74" s="84">
        <v>10</v>
      </c>
      <c r="R74" s="85">
        <v>10</v>
      </c>
      <c r="S74" s="86">
        <v>9</v>
      </c>
    </row>
    <row r="75" spans="1:19" x14ac:dyDescent="0.2">
      <c r="A75" s="72"/>
      <c r="B75" s="73" t="s">
        <v>72</v>
      </c>
      <c r="C75" s="74">
        <f>VLOOKUP(B75,[1]SponsoredResearch!$B$7:$L$81,11,FALSE)</f>
        <v>106584</v>
      </c>
      <c r="D75" s="75">
        <f t="shared" si="6"/>
        <v>10.204000000000001</v>
      </c>
      <c r="E75" s="76">
        <f>(12980)+((2450)/3.5)</f>
        <v>13680</v>
      </c>
      <c r="F75" s="77">
        <f t="shared" si="7"/>
        <v>1.5543229037660517E-2</v>
      </c>
      <c r="G75" s="78">
        <f>(1980)+((1290)/3.5)</f>
        <v>2348.5714285714284</v>
      </c>
      <c r="H75" s="77">
        <f t="shared" si="8"/>
        <v>1.4952944611346226E-2</v>
      </c>
      <c r="I75" s="78">
        <f>SUMIF('[1]UC Enrolment Data'!$A$3:$A$90,B75,'[1]UC Enrolment Data'!$T$3:$T$90)</f>
        <v>16030.095238095239</v>
      </c>
      <c r="J75" s="75">
        <f t="shared" si="9"/>
        <v>8.9899000000000004</v>
      </c>
      <c r="K75" s="78">
        <f>VLOOKUP(B75,[1]Faculty!$B$7:$K$81,10,FALSE)</f>
        <v>1013</v>
      </c>
      <c r="L75" s="79">
        <f t="shared" si="10"/>
        <v>10.0931</v>
      </c>
      <c r="M75" s="87">
        <f t="shared" si="11"/>
        <v>10</v>
      </c>
      <c r="N75" s="81">
        <f t="shared" si="12"/>
        <v>9.7623333333333324</v>
      </c>
      <c r="O75" s="88">
        <v>10</v>
      </c>
      <c r="P75" s="83">
        <v>10</v>
      </c>
      <c r="Q75" s="84">
        <v>10</v>
      </c>
      <c r="R75" s="85">
        <v>10</v>
      </c>
      <c r="S75" s="86">
        <v>10</v>
      </c>
    </row>
    <row r="76" spans="1:19" x14ac:dyDescent="0.2">
      <c r="A76" s="72"/>
      <c r="B76" s="73" t="s">
        <v>73</v>
      </c>
      <c r="C76" s="74">
        <f>VLOOKUP(B76,[1]SponsoredResearch!$B$7:$L$81,11,FALSE)</f>
        <v>53303</v>
      </c>
      <c r="D76" s="75">
        <f t="shared" si="6"/>
        <v>9.2258999999999993</v>
      </c>
      <c r="E76" s="76">
        <f>(20750)+((9260)/3.5)</f>
        <v>23395.714285714286</v>
      </c>
      <c r="F76" s="77">
        <f t="shared" si="7"/>
        <v>2.6582232868605501E-2</v>
      </c>
      <c r="G76" s="78">
        <f>(4150)+((1050)/3.5)</f>
        <v>4450</v>
      </c>
      <c r="H76" s="77">
        <f t="shared" si="8"/>
        <v>2.833237376176612E-2</v>
      </c>
      <c r="I76" s="78">
        <f>SUMIF('[1]UC Enrolment Data'!$A$3:$A$90,B76,'[1]UC Enrolment Data'!$T$3:$T$90)</f>
        <v>31213.238095238095</v>
      </c>
      <c r="J76" s="75">
        <f t="shared" si="9"/>
        <v>10.5589</v>
      </c>
      <c r="K76" s="78">
        <f>VLOOKUP(B76,[1]Faculty!$B$7:$K$81,10,FALSE)</f>
        <v>1000</v>
      </c>
      <c r="L76" s="79">
        <f t="shared" si="10"/>
        <v>10.0542</v>
      </c>
      <c r="M76" s="87">
        <f t="shared" si="11"/>
        <v>10</v>
      </c>
      <c r="N76" s="81">
        <f t="shared" si="12"/>
        <v>9.9463333333333335</v>
      </c>
      <c r="O76" s="88">
        <v>10</v>
      </c>
      <c r="P76" s="83">
        <v>10</v>
      </c>
      <c r="Q76" s="84">
        <v>10</v>
      </c>
      <c r="R76" s="85">
        <v>10</v>
      </c>
      <c r="S76" s="86">
        <v>10</v>
      </c>
    </row>
    <row r="77" spans="1:19" x14ac:dyDescent="0.2">
      <c r="A77" s="72"/>
      <c r="B77" s="73" t="s">
        <v>74</v>
      </c>
      <c r="C77" s="74">
        <f>VLOOKUP(B77,[1]SponsoredResearch!$B$7:$L$81,11,FALSE)</f>
        <v>130493</v>
      </c>
      <c r="D77" s="75">
        <f t="shared" si="6"/>
        <v>10.489699999999999</v>
      </c>
      <c r="E77" s="76">
        <f>(13460)+((11650)/3.5)</f>
        <v>16788.571428571428</v>
      </c>
      <c r="F77" s="77">
        <f t="shared" si="7"/>
        <v>1.9075190857412948E-2</v>
      </c>
      <c r="G77" s="78">
        <f>(3720)+((890)/3.5)</f>
        <v>3974.2857142857142</v>
      </c>
      <c r="H77" s="77">
        <f t="shared" si="8"/>
        <v>2.5303583886110221E-2</v>
      </c>
      <c r="I77" s="78">
        <f>SUMIF('[1]UC Enrolment Data'!$A$3:$A$90,B77,'[1]UC Enrolment Data'!$T$3:$T$90)</f>
        <v>20688.476190476187</v>
      </c>
      <c r="J77" s="75">
        <f t="shared" si="9"/>
        <v>9.5906000000000002</v>
      </c>
      <c r="K77" s="78">
        <f>VLOOKUP(B77,[1]Faculty!$B$7:$K$81,10,FALSE)</f>
        <v>1004</v>
      </c>
      <c r="L77" s="79">
        <f t="shared" si="10"/>
        <v>10.0662</v>
      </c>
      <c r="M77" s="87">
        <f t="shared" si="11"/>
        <v>10</v>
      </c>
      <c r="N77" s="81">
        <f t="shared" si="12"/>
        <v>10.048833333333334</v>
      </c>
      <c r="O77" s="88">
        <v>10</v>
      </c>
      <c r="P77" s="83">
        <v>10</v>
      </c>
      <c r="Q77" s="84">
        <v>10</v>
      </c>
      <c r="R77" s="85">
        <v>10</v>
      </c>
      <c r="S77" s="86">
        <v>10</v>
      </c>
    </row>
    <row r="78" spans="1:19" x14ac:dyDescent="0.2">
      <c r="A78" s="72"/>
      <c r="B78" s="73" t="s">
        <v>75</v>
      </c>
      <c r="C78" s="74">
        <f>VLOOKUP(B78,[1]SponsoredResearch!$B$7:$L$81,11,FALSE)</f>
        <v>140634</v>
      </c>
      <c r="D78" s="75">
        <f t="shared" si="6"/>
        <v>10.5953</v>
      </c>
      <c r="E78" s="76">
        <f>(10450)+((3090)/3.5)</f>
        <v>11332.857142857143</v>
      </c>
      <c r="F78" s="77">
        <f t="shared" si="7"/>
        <v>1.2876403086441194E-2</v>
      </c>
      <c r="G78" s="78">
        <f>(4250)+((4350)/3.5)</f>
        <v>5492.8571428571431</v>
      </c>
      <c r="H78" s="77">
        <f t="shared" si="8"/>
        <v>3.4972063278969741E-2</v>
      </c>
      <c r="I78" s="78">
        <f>SUMIF('[1]UC Enrolment Data'!$A$3:$A$90,B78,'[1]UC Enrolment Data'!$T$3:$T$90)</f>
        <v>19162</v>
      </c>
      <c r="J78" s="75">
        <f t="shared" si="9"/>
        <v>9.4100999999999999</v>
      </c>
      <c r="K78" s="78">
        <f>VLOOKUP(B78,[1]Faculty!$B$7:$K$81,10,FALSE)</f>
        <v>1143</v>
      </c>
      <c r="L78" s="79">
        <f t="shared" si="10"/>
        <v>10.4567</v>
      </c>
      <c r="M78" s="87">
        <f t="shared" si="11"/>
        <v>10</v>
      </c>
      <c r="N78" s="81">
        <f t="shared" si="12"/>
        <v>10.154033333333333</v>
      </c>
      <c r="O78" s="88">
        <v>10</v>
      </c>
      <c r="P78" s="83">
        <v>10</v>
      </c>
      <c r="Q78" s="84">
        <v>10</v>
      </c>
      <c r="R78" s="85">
        <v>10</v>
      </c>
      <c r="S78" s="86">
        <v>10</v>
      </c>
    </row>
    <row r="79" spans="1:19" x14ac:dyDescent="0.2">
      <c r="A79" s="72"/>
      <c r="B79" s="73" t="s">
        <v>76</v>
      </c>
      <c r="C79" s="74">
        <f>VLOOKUP(B79,[1]SponsoredResearch!$B$7:$L$81,11,FALSE)</f>
        <v>142277</v>
      </c>
      <c r="D79" s="75">
        <f t="shared" si="6"/>
        <v>10.611700000000001</v>
      </c>
      <c r="E79" s="76">
        <f>(12210)+((1270)/3.5)+936</f>
        <v>13508.857142857143</v>
      </c>
      <c r="F79" s="77">
        <f t="shared" si="7"/>
        <v>1.5348776360267897E-2</v>
      </c>
      <c r="G79" s="78">
        <f>(3070)+((710)/3.5)+936</f>
        <v>4208.8571428571431</v>
      </c>
      <c r="H79" s="77">
        <f t="shared" si="8"/>
        <v>2.6797059254226433E-2</v>
      </c>
      <c r="I79" s="78">
        <f>SUMIF('[1]UC Enrolment Data'!$A$3:$A$90,B79,'[1]UC Enrolment Data'!$T$3:$T$90)</f>
        <v>18477.571428571431</v>
      </c>
      <c r="J79" s="75">
        <f t="shared" si="9"/>
        <v>9.3245000000000005</v>
      </c>
      <c r="K79" s="78">
        <f>VLOOKUP(B79,[1]Faculty!$B$7:$K$81,10,FALSE)</f>
        <v>976</v>
      </c>
      <c r="L79" s="79">
        <f t="shared" si="10"/>
        <v>9.9810999999999996</v>
      </c>
      <c r="M79" s="87">
        <f t="shared" si="11"/>
        <v>10</v>
      </c>
      <c r="N79" s="81">
        <f t="shared" si="12"/>
        <v>9.972433333333333</v>
      </c>
      <c r="O79" s="88">
        <v>10</v>
      </c>
      <c r="P79" s="83">
        <v>10</v>
      </c>
      <c r="Q79" s="84">
        <v>10</v>
      </c>
      <c r="R79" s="85">
        <v>10</v>
      </c>
      <c r="S79" s="86">
        <v>10</v>
      </c>
    </row>
    <row r="80" spans="1:19" x14ac:dyDescent="0.2">
      <c r="A80" s="72"/>
      <c r="B80" s="73" t="s">
        <v>77</v>
      </c>
      <c r="C80" s="74">
        <f>VLOOKUP(B80,[1]SponsoredResearch!$B$7:$L$81,11,FALSE)</f>
        <v>67557</v>
      </c>
      <c r="D80" s="75">
        <f t="shared" si="6"/>
        <v>9.5603999999999996</v>
      </c>
      <c r="E80" s="76">
        <f>(20200)+((13700)/3.5)</f>
        <v>24114.285714285714</v>
      </c>
      <c r="F80" s="77">
        <f t="shared" si="7"/>
        <v>2.7398674410579523E-2</v>
      </c>
      <c r="G80" s="78">
        <f>(3890)+((3010)/3.5)</f>
        <v>4750</v>
      </c>
      <c r="H80" s="77">
        <f t="shared" si="8"/>
        <v>3.0242421431098666E-2</v>
      </c>
      <c r="I80" s="78">
        <f>SUMIF('[1]UC Enrolment Data'!$A$3:$A$90,B80,'[1]UC Enrolment Data'!$T$3:$T$90)</f>
        <v>28461.619047619042</v>
      </c>
      <c r="J80" s="75">
        <f t="shared" si="9"/>
        <v>10.3416</v>
      </c>
      <c r="K80" s="78">
        <f>VLOOKUP(B80,[1]Faculty!$B$7:$K$81,10,FALSE)</f>
        <v>1104</v>
      </c>
      <c r="L80" s="79">
        <f t="shared" si="10"/>
        <v>10.3521</v>
      </c>
      <c r="M80" s="87">
        <f t="shared" si="11"/>
        <v>10</v>
      </c>
      <c r="N80" s="81">
        <f t="shared" si="12"/>
        <v>10.0847</v>
      </c>
      <c r="O80" s="88">
        <v>10</v>
      </c>
      <c r="P80" s="83">
        <v>10</v>
      </c>
      <c r="Q80" s="84">
        <v>10</v>
      </c>
      <c r="R80" s="85">
        <v>10</v>
      </c>
      <c r="S80" s="86">
        <v>10</v>
      </c>
    </row>
    <row r="81" spans="1:19" x14ac:dyDescent="0.2">
      <c r="A81" s="72"/>
      <c r="B81" s="73" t="s">
        <v>78</v>
      </c>
      <c r="C81" s="74">
        <f>VLOOKUP(B81,[1]SponsoredResearch!$B$7:$L$81,11,FALSE)</f>
        <v>146345</v>
      </c>
      <c r="D81" s="75">
        <f t="shared" si="6"/>
        <v>10.6515</v>
      </c>
      <c r="E81" s="76">
        <f>(22000)+((2300)/3.5)</f>
        <v>22657.142857142859</v>
      </c>
      <c r="F81" s="77">
        <f t="shared" si="7"/>
        <v>2.5743067307570575E-2</v>
      </c>
      <c r="G81" s="78">
        <f>(2400)+((250)/3.5)</f>
        <v>2471.4285714285716</v>
      </c>
      <c r="H81" s="77">
        <f t="shared" si="8"/>
        <v>1.5735154609263367E-2</v>
      </c>
      <c r="I81" s="78">
        <f>SUMIF('[1]UC Enrolment Data'!$A$3:$A$90,B81,'[1]UC Enrolment Data'!$T$3:$T$90)</f>
        <v>27794.285714285714</v>
      </c>
      <c r="J81" s="75">
        <f t="shared" si="9"/>
        <v>10.2857</v>
      </c>
      <c r="K81" s="78">
        <f>VLOOKUP(B81,[1]Faculty!$B$7:$K$81,10,FALSE)</f>
        <v>786</v>
      </c>
      <c r="L81" s="79">
        <f t="shared" si="10"/>
        <v>9.3292000000000002</v>
      </c>
      <c r="M81" s="87">
        <f t="shared" si="11"/>
        <v>10</v>
      </c>
      <c r="N81" s="81">
        <f t="shared" si="12"/>
        <v>10.088800000000001</v>
      </c>
      <c r="O81" s="88">
        <v>10</v>
      </c>
      <c r="P81" s="83">
        <v>10</v>
      </c>
      <c r="Q81" s="84">
        <v>10</v>
      </c>
      <c r="R81" s="85">
        <v>10</v>
      </c>
      <c r="S81" s="86">
        <v>10</v>
      </c>
    </row>
    <row r="82" spans="1:19" x14ac:dyDescent="0.2">
      <c r="A82" s="72"/>
      <c r="B82" s="73" t="s">
        <v>79</v>
      </c>
      <c r="C82" s="74">
        <f>VLOOKUP(B82,[1]SponsoredResearch!$B$7:$L$81,11,FALSE)</f>
        <v>178257</v>
      </c>
      <c r="D82" s="75">
        <f t="shared" si="6"/>
        <v>10.9299</v>
      </c>
      <c r="E82" s="76">
        <f>(16400)+((3700)/3.5)</f>
        <v>17457.142857142859</v>
      </c>
      <c r="F82" s="77">
        <f t="shared" si="7"/>
        <v>1.9834822351734706E-2</v>
      </c>
      <c r="G82" s="78">
        <f>(4400)+((300)/3.5)</f>
        <v>4485.7142857142853</v>
      </c>
      <c r="H82" s="77">
        <f t="shared" si="8"/>
        <v>2.8559760389067611E-2</v>
      </c>
      <c r="I82" s="78">
        <f>SUMIF('[1]UC Enrolment Data'!$A$3:$A$90,B82,'[1]UC Enrolment Data'!$T$3:$T$90)</f>
        <v>26716.190476190473</v>
      </c>
      <c r="J82" s="75">
        <f t="shared" si="9"/>
        <v>10.192600000000001</v>
      </c>
      <c r="K82" s="78">
        <f>VLOOKUP(B82,[1]Faculty!$B$7:$K$81,10,FALSE)</f>
        <v>772</v>
      </c>
      <c r="L82" s="79">
        <f t="shared" si="10"/>
        <v>9.2751000000000001</v>
      </c>
      <c r="M82" s="87">
        <f t="shared" si="11"/>
        <v>10</v>
      </c>
      <c r="N82" s="81">
        <f t="shared" si="12"/>
        <v>10.132533333333335</v>
      </c>
      <c r="O82" s="88">
        <v>10</v>
      </c>
      <c r="P82" s="83">
        <v>10</v>
      </c>
      <c r="Q82" s="84">
        <v>10</v>
      </c>
      <c r="R82" s="85">
        <v>10</v>
      </c>
      <c r="S82" s="86">
        <v>10</v>
      </c>
    </row>
    <row r="83" spans="1:19" x14ac:dyDescent="0.2">
      <c r="A83" s="72"/>
      <c r="B83" s="73" t="s">
        <v>80</v>
      </c>
      <c r="C83" s="74">
        <f>VLOOKUP(B83,[1]SponsoredResearch!$B$7:$L$81,11,FALSE)</f>
        <v>192415</v>
      </c>
      <c r="D83" s="75">
        <f t="shared" si="6"/>
        <v>11.037800000000001</v>
      </c>
      <c r="E83" s="76">
        <f>((13560)+((3410)/3.5))+(1000+(260/3.5))</f>
        <v>15608.571428571428</v>
      </c>
      <c r="F83" s="77">
        <f t="shared" si="7"/>
        <v>1.7734473732819424E-2</v>
      </c>
      <c r="G83" s="78">
        <f>((2420)+((490)/3.5))</f>
        <v>2560</v>
      </c>
      <c r="H83" s="77">
        <f t="shared" si="8"/>
        <v>1.6299073444971071E-2</v>
      </c>
      <c r="I83" s="78">
        <f>SUMIF('[1]UC Enrolment Data'!$A$3:$A$90,B83,'[1]UC Enrolment Data'!$T$3:$T$90)</f>
        <v>20253.523809523806</v>
      </c>
      <c r="J83" s="75">
        <f t="shared" si="9"/>
        <v>9.5404999999999998</v>
      </c>
      <c r="K83" s="78">
        <f>VLOOKUP(B83,[1]Faculty!$B$7:$K$81,10,FALSE)</f>
        <v>985</v>
      </c>
      <c r="L83" s="79">
        <f t="shared" si="10"/>
        <v>10.008699999999999</v>
      </c>
      <c r="M83" s="87">
        <f t="shared" si="11"/>
        <v>10</v>
      </c>
      <c r="N83" s="81">
        <f t="shared" si="12"/>
        <v>10.195666666666666</v>
      </c>
      <c r="O83" s="88">
        <v>10</v>
      </c>
      <c r="P83" s="83">
        <v>10</v>
      </c>
      <c r="Q83" s="84">
        <v>10</v>
      </c>
      <c r="R83" s="85">
        <v>10</v>
      </c>
      <c r="S83" s="86">
        <v>10</v>
      </c>
    </row>
    <row r="84" spans="1:19" x14ac:dyDescent="0.2">
      <c r="A84" s="72"/>
      <c r="B84" s="73" t="s">
        <v>81</v>
      </c>
      <c r="C84" s="74">
        <f>VLOOKUP(B84,[1]SponsoredResearch!$B$7:$L$81,11,FALSE)</f>
        <v>196576</v>
      </c>
      <c r="D84" s="75">
        <f t="shared" si="6"/>
        <v>11.068</v>
      </c>
      <c r="E84" s="76">
        <f>(20430)+((4050)/3.5)</f>
        <v>21587.142857142859</v>
      </c>
      <c r="F84" s="77">
        <f t="shared" si="7"/>
        <v>2.452733228781204E-2</v>
      </c>
      <c r="G84" s="78">
        <f>(2660)+((740)/3.5)</f>
        <v>2871.4285714285716</v>
      </c>
      <c r="H84" s="77">
        <f t="shared" si="8"/>
        <v>1.8281884835040098E-2</v>
      </c>
      <c r="I84" s="78">
        <f>SUMIF('[1]UC Enrolment Data'!$A$3:$A$90,B84,'[1]UC Enrolment Data'!$T$3:$T$90)</f>
        <v>26985.571428571431</v>
      </c>
      <c r="J84" s="75">
        <f t="shared" si="9"/>
        <v>10.216200000000001</v>
      </c>
      <c r="K84" s="78">
        <f>VLOOKUP(B84,[1]Faculty!$B$7:$K$81,10,FALSE)</f>
        <v>1135</v>
      </c>
      <c r="L84" s="79">
        <f t="shared" si="10"/>
        <v>10.435499999999999</v>
      </c>
      <c r="M84" s="87">
        <f t="shared" si="11"/>
        <v>11</v>
      </c>
      <c r="N84" s="81">
        <f t="shared" si="12"/>
        <v>10.573233333333333</v>
      </c>
      <c r="O84" s="88">
        <v>11</v>
      </c>
      <c r="P84" s="83">
        <v>11</v>
      </c>
      <c r="Q84" s="84">
        <v>10</v>
      </c>
      <c r="R84" s="85">
        <v>10</v>
      </c>
      <c r="S84" s="86">
        <v>11</v>
      </c>
    </row>
    <row r="85" spans="1:19" x14ac:dyDescent="0.2">
      <c r="A85" s="72"/>
      <c r="B85" s="73" t="s">
        <v>82</v>
      </c>
      <c r="C85" s="74">
        <f>VLOOKUP(B85,[1]SponsoredResearch!$B$7:$L$81,11,FALSE)</f>
        <v>189474</v>
      </c>
      <c r="D85" s="75">
        <f t="shared" si="6"/>
        <v>11.016</v>
      </c>
      <c r="E85" s="76">
        <f>((22400)+((1500)/3.5))+(670+((50)/3.5))</f>
        <v>23512.857142857141</v>
      </c>
      <c r="F85" s="77">
        <f t="shared" si="7"/>
        <v>2.6715330694533669E-2</v>
      </c>
      <c r="G85" s="78">
        <f>((3700)+((1100)/3.5))+(10/3.5)</f>
        <v>4017.1428571428569</v>
      </c>
      <c r="H85" s="77">
        <f t="shared" si="8"/>
        <v>2.5576447838872012E-2</v>
      </c>
      <c r="I85" s="78">
        <f>SUMIF('[1]UC Enrolment Data'!$A$3:$A$90,B85,'[1]UC Enrolment Data'!$T$3:$T$90)</f>
        <v>38206.666666666664</v>
      </c>
      <c r="J85" s="75">
        <f t="shared" si="9"/>
        <v>11.034800000000001</v>
      </c>
      <c r="K85" s="78">
        <f>VLOOKUP(B85,[1]Faculty!$B$7:$K$81,10,FALSE)</f>
        <v>1242</v>
      </c>
      <c r="L85" s="79">
        <f t="shared" si="10"/>
        <v>10.706799999999999</v>
      </c>
      <c r="M85" s="87">
        <f t="shared" si="11"/>
        <v>11</v>
      </c>
      <c r="N85" s="81">
        <f t="shared" si="12"/>
        <v>10.919200000000002</v>
      </c>
      <c r="O85" s="88">
        <v>11</v>
      </c>
      <c r="P85" s="83">
        <v>11</v>
      </c>
      <c r="Q85" s="84">
        <v>11</v>
      </c>
      <c r="R85" s="85">
        <v>11</v>
      </c>
      <c r="S85" s="86">
        <v>11</v>
      </c>
    </row>
    <row r="86" spans="1:19" x14ac:dyDescent="0.2">
      <c r="A86" s="72"/>
      <c r="B86" s="73" t="s">
        <v>83</v>
      </c>
      <c r="C86" s="74">
        <f>VLOOKUP(B86,[1]SponsoredResearch!$B$7:$L$81,11,FALSE)</f>
        <v>89255</v>
      </c>
      <c r="D86" s="75">
        <f t="shared" ref="D86:D96" si="13">ROUND(IF(0.5+LOG(C86/C$101,C$103)&lt;1,1,0.5+LOG(C86/C$101,C$103)),4)</f>
        <v>9.9535999999999998</v>
      </c>
      <c r="E86" s="76">
        <f>(42000)+((7100)/3.5)</f>
        <v>44028.571428571428</v>
      </c>
      <c r="F86" s="77">
        <f t="shared" ref="F86:F96" si="14">E86/E$98</f>
        <v>5.0025304818368539E-2</v>
      </c>
      <c r="G86" s="78">
        <f>(3950)+((2000)/3.5)</f>
        <v>4521.4285714285716</v>
      </c>
      <c r="H86" s="77">
        <f t="shared" ref="H86:H96" si="15">G86/G$98</f>
        <v>2.8787147016369107E-2</v>
      </c>
      <c r="I86" s="78">
        <f>SUMIF('[1]UC Enrolment Data'!$A$3:$A$90,B86,'[1]UC Enrolment Data'!$T$3:$T$90)</f>
        <v>49476.190476190473</v>
      </c>
      <c r="J86" s="75">
        <f t="shared" ref="J86:J96" si="16">ROUND(IF(0.5+LOG(I86/I$101,I$103)&lt;1,1,0.5+LOG(I86/I$101,I$103)),4)</f>
        <v>11.6434</v>
      </c>
      <c r="K86" s="78">
        <f>VLOOKUP(B86,[1]Faculty!$B$7:$K$81,10,FALSE)</f>
        <v>1388</v>
      </c>
      <c r="L86" s="79">
        <f t="shared" ref="L86:L96" si="17">ROUND(IF(0.5+LOG(K86/K$101,K$103)&lt;1,1,0.5+LOG(K86/K$101,K$103)),4)</f>
        <v>11.041399999999999</v>
      </c>
      <c r="M86" s="87">
        <f t="shared" si="11"/>
        <v>11</v>
      </c>
      <c r="N86" s="81">
        <f t="shared" si="12"/>
        <v>10.879466666666668</v>
      </c>
      <c r="O86" s="88">
        <v>11</v>
      </c>
      <c r="P86" s="83">
        <v>11</v>
      </c>
      <c r="Q86" s="84">
        <v>11</v>
      </c>
      <c r="R86" s="85">
        <v>11</v>
      </c>
      <c r="S86" s="86">
        <v>11</v>
      </c>
    </row>
    <row r="87" spans="1:19" x14ac:dyDescent="0.2">
      <c r="A87" s="72"/>
      <c r="B87" s="73" t="s">
        <v>84</v>
      </c>
      <c r="C87" s="74">
        <f>VLOOKUP(B87,[1]SponsoredResearch!$B$7:$L$81,11,FALSE)</f>
        <v>375384</v>
      </c>
      <c r="D87" s="75">
        <f t="shared" si="13"/>
        <v>11.9811</v>
      </c>
      <c r="E87" s="76">
        <f>(21900)+((3200)/3.5)</f>
        <v>22814.285714285714</v>
      </c>
      <c r="F87" s="77">
        <f t="shared" si="14"/>
        <v>2.5921613171620558E-2</v>
      </c>
      <c r="G87" s="78">
        <f>(3300)+((630)/3.5)</f>
        <v>3480</v>
      </c>
      <c r="H87" s="77">
        <f t="shared" si="15"/>
        <v>2.2156552964257548E-2</v>
      </c>
      <c r="I87" s="78">
        <f>SUMIF('[1]UC Enrolment Data'!$A$3:$A$90,B87,'[1]UC Enrolment Data'!$T$3:$T$90)</f>
        <v>32485.71428571429</v>
      </c>
      <c r="J87" s="75">
        <f t="shared" si="16"/>
        <v>10.652900000000001</v>
      </c>
      <c r="K87" s="78">
        <f>VLOOKUP(B87,[1]Faculty!$B$7:$K$81,10,FALSE)</f>
        <v>873</v>
      </c>
      <c r="L87" s="79">
        <f t="shared" si="17"/>
        <v>9.6453000000000007</v>
      </c>
      <c r="M87" s="87">
        <f t="shared" ref="M87:M96" si="18">ROUND((D87+J87+L87)/3,0)</f>
        <v>11</v>
      </c>
      <c r="N87" s="81">
        <f t="shared" ref="N87:N96" si="19">(D87+J87+L87)/3</f>
        <v>10.759766666666666</v>
      </c>
      <c r="O87" s="88">
        <v>11</v>
      </c>
      <c r="P87" s="83">
        <v>11</v>
      </c>
      <c r="Q87" s="84">
        <v>11</v>
      </c>
      <c r="R87" s="85">
        <v>11</v>
      </c>
      <c r="S87" s="86">
        <v>11</v>
      </c>
    </row>
    <row r="88" spans="1:19" x14ac:dyDescent="0.2">
      <c r="B88" s="73" t="s">
        <v>85</v>
      </c>
      <c r="C88" s="74">
        <f>VLOOKUP(B88,[1]SponsoredResearch!$B$7:$L$81,11,FALSE)</f>
        <v>248382</v>
      </c>
      <c r="D88" s="75">
        <f t="shared" si="13"/>
        <v>11.398099999999999</v>
      </c>
      <c r="E88" s="76">
        <f>((3350)+((530)/3.5))+((22800)+((2600)/3.5))+((1048)+(208/3.5))+((1270)+((160)/3.5))</f>
        <v>29467.428571428572</v>
      </c>
      <c r="F88" s="77">
        <f t="shared" si="14"/>
        <v>3.3480920426653196E-2</v>
      </c>
      <c r="G88" s="78">
        <f>((20)+((40)/3.5))+((4800)+((540)/3.5))+(29)+((10)+((10)/3.5))</f>
        <v>5027.5714285714294</v>
      </c>
      <c r="H88" s="77">
        <f t="shared" si="15"/>
        <v>3.2009670298485879E-2</v>
      </c>
      <c r="I88" s="78">
        <f>SUMIF('[1]UC Enrolment Data'!$A$3:$A$90,B88,'[1]UC Enrolment Data'!$T$3:$T$90)</f>
        <v>35380.428571428572</v>
      </c>
      <c r="J88" s="75">
        <f t="shared" si="16"/>
        <v>10.853899999999999</v>
      </c>
      <c r="K88" s="78">
        <f>VLOOKUP(B88,[1]Faculty!$B$7:$K$81,10,FALSE)</f>
        <v>1289</v>
      </c>
      <c r="L88" s="79">
        <f t="shared" si="17"/>
        <v>10.8186</v>
      </c>
      <c r="M88" s="87">
        <f t="shared" si="18"/>
        <v>11</v>
      </c>
      <c r="N88" s="81">
        <f t="shared" si="19"/>
        <v>11.023533333333333</v>
      </c>
      <c r="O88" s="88">
        <v>11</v>
      </c>
      <c r="P88" s="83">
        <v>11</v>
      </c>
      <c r="Q88" s="84">
        <v>11</v>
      </c>
      <c r="R88" s="85">
        <v>11</v>
      </c>
      <c r="S88" s="86">
        <v>11</v>
      </c>
    </row>
    <row r="89" spans="1:19" x14ac:dyDescent="0.2">
      <c r="A89" s="72"/>
      <c r="B89" s="73" t="s">
        <v>86</v>
      </c>
      <c r="C89" s="74">
        <f>VLOOKUP(B89,[1]SponsoredResearch!$B$7:$L$81,11,FALSE)</f>
        <v>321720</v>
      </c>
      <c r="D89" s="75">
        <f t="shared" si="13"/>
        <v>11.763299999999999</v>
      </c>
      <c r="E89" s="76">
        <f>(28700)+((6300)/3.5)</f>
        <v>30500</v>
      </c>
      <c r="F89" s="77">
        <f t="shared" si="14"/>
        <v>3.4654129067883462E-2</v>
      </c>
      <c r="G89" s="78">
        <f>(4900)+((1500)/3.5)</f>
        <v>5328.5714285714284</v>
      </c>
      <c r="H89" s="77">
        <f t="shared" si="15"/>
        <v>3.3926084793382862E-2</v>
      </c>
      <c r="I89" s="78">
        <f>SUMIF('[1]UC Enrolment Data'!$A$3:$A$90,B89,'[1]UC Enrolment Data'!$T$3:$T$90)</f>
        <v>39431.904761904763</v>
      </c>
      <c r="J89" s="75">
        <f t="shared" si="16"/>
        <v>11.1092</v>
      </c>
      <c r="K89" s="78">
        <f>VLOOKUP(B89,[1]Faculty!$B$7:$K$81,10,FALSE)</f>
        <v>1249</v>
      </c>
      <c r="L89" s="79">
        <f t="shared" si="17"/>
        <v>10.723699999999999</v>
      </c>
      <c r="M89" s="87">
        <f t="shared" si="18"/>
        <v>11</v>
      </c>
      <c r="N89" s="81">
        <f t="shared" si="19"/>
        <v>11.198733333333331</v>
      </c>
      <c r="O89" s="88">
        <v>11</v>
      </c>
      <c r="P89" s="83">
        <v>11</v>
      </c>
      <c r="Q89" s="84">
        <v>11</v>
      </c>
      <c r="R89" s="85">
        <v>11</v>
      </c>
      <c r="S89" s="86">
        <v>11</v>
      </c>
    </row>
    <row r="90" spans="1:19" x14ac:dyDescent="0.2">
      <c r="A90" s="72"/>
      <c r="B90" s="73" t="s">
        <v>87</v>
      </c>
      <c r="C90" s="74">
        <f>VLOOKUP(B90,[1]SponsoredResearch!$B$7:$L$81,11,FALSE)</f>
        <v>379152</v>
      </c>
      <c r="D90" s="75">
        <f t="shared" si="13"/>
        <v>11.995100000000001</v>
      </c>
      <c r="E90" s="76">
        <f>(22830)+((6870)/3.5)</f>
        <v>24792.857142857141</v>
      </c>
      <c r="F90" s="77">
        <f t="shared" si="14"/>
        <v>2.8169667914431731E-2</v>
      </c>
      <c r="G90" s="78">
        <f>(7670)+((4150)/3.5)</f>
        <v>8855.7142857142862</v>
      </c>
      <c r="H90" s="77">
        <f t="shared" si="15"/>
        <v>5.6382788105678386E-2</v>
      </c>
      <c r="I90" s="78">
        <f>SUMIF('[1]UC Enrolment Data'!$A$3:$A$90,B90,'[1]UC Enrolment Data'!$T$3:$T$90)</f>
        <v>34486.952380952389</v>
      </c>
      <c r="J90" s="75">
        <f t="shared" si="16"/>
        <v>10.793699999999999</v>
      </c>
      <c r="K90" s="78">
        <f>VLOOKUP(B90,[1]Faculty!$B$7:$K$81,10,FALSE)</f>
        <v>1393</v>
      </c>
      <c r="L90" s="79">
        <f t="shared" si="17"/>
        <v>11.052199999999999</v>
      </c>
      <c r="M90" s="87">
        <f t="shared" si="18"/>
        <v>11</v>
      </c>
      <c r="N90" s="81">
        <f t="shared" si="19"/>
        <v>11.280333333333333</v>
      </c>
      <c r="O90" s="88">
        <v>11</v>
      </c>
      <c r="P90" s="83">
        <v>11</v>
      </c>
      <c r="Q90" s="84">
        <v>11</v>
      </c>
      <c r="R90" s="85">
        <v>11</v>
      </c>
      <c r="S90" s="86">
        <v>11</v>
      </c>
    </row>
    <row r="91" spans="1:19" x14ac:dyDescent="0.2">
      <c r="B91" s="92" t="s">
        <v>88</v>
      </c>
      <c r="C91" s="93">
        <f>VLOOKUP(B91,[1]SponsoredResearch!$B$7:$L$81,11,FALSE)</f>
        <v>446262</v>
      </c>
      <c r="D91" s="94">
        <f t="shared" si="13"/>
        <v>12.225199999999999</v>
      </c>
      <c r="E91" s="95">
        <f>(24500)+((9040)/3.5)</f>
        <v>27082.857142857141</v>
      </c>
      <c r="F91" s="96">
        <f t="shared" si="14"/>
        <v>3.0771568096905604E-2</v>
      </c>
      <c r="G91" s="97">
        <f>(9110)+((2250)/3.5)</f>
        <v>9752.8571428571431</v>
      </c>
      <c r="H91" s="96">
        <f t="shared" si="15"/>
        <v>6.2094740183491912E-2</v>
      </c>
      <c r="I91" s="97">
        <f>SUMIF('[1]UC Enrolment Data'!$A$3:$A$90,B91,'[1]UC Enrolment Data'!$T$3:$T$90)</f>
        <v>39451.571428571428</v>
      </c>
      <c r="J91" s="94">
        <f t="shared" si="16"/>
        <v>11.110300000000001</v>
      </c>
      <c r="K91" s="97">
        <f>VLOOKUP(B91,[1]Faculty!$B$7:$K$81,10,FALSE)</f>
        <v>1430</v>
      </c>
      <c r="L91" s="98">
        <f t="shared" si="17"/>
        <v>11.1312</v>
      </c>
      <c r="M91" s="99">
        <f>ROUND((D91+J91+L91)/3,0)</f>
        <v>11</v>
      </c>
      <c r="N91" s="100">
        <f>(D91+J91+L91)/3</f>
        <v>11.488900000000001</v>
      </c>
      <c r="O91" s="88">
        <v>12</v>
      </c>
      <c r="P91" s="83">
        <v>12</v>
      </c>
      <c r="Q91" s="84">
        <v>12</v>
      </c>
      <c r="R91" s="85">
        <v>12</v>
      </c>
      <c r="S91" s="86">
        <v>12</v>
      </c>
    </row>
    <row r="92" spans="1:19" x14ac:dyDescent="0.2">
      <c r="A92" s="72"/>
      <c r="B92" s="92" t="s">
        <v>89</v>
      </c>
      <c r="C92" s="93">
        <f>VLOOKUP(B92,[1]SponsoredResearch!$B$7:$L$81,11,FALSE)</f>
        <v>387543</v>
      </c>
      <c r="D92" s="94">
        <f t="shared" si="13"/>
        <v>12.026</v>
      </c>
      <c r="E92" s="95">
        <f>(23040)+((1670)/3.5)</f>
        <v>23517.142857142859</v>
      </c>
      <c r="F92" s="96">
        <f t="shared" si="14"/>
        <v>2.6720200127189581E-2</v>
      </c>
      <c r="G92" s="97">
        <f>(6090)+((870)/3.5)</f>
        <v>6338.5714285714284</v>
      </c>
      <c r="H92" s="96">
        <f t="shared" si="15"/>
        <v>4.0356578613469106E-2</v>
      </c>
      <c r="I92" s="97">
        <f>SUMIF('[1]UC Enrolment Data'!$A$3:$A$90,B92,'[1]UC Enrolment Data'!$T$3:$T$90)</f>
        <v>32248.904761904763</v>
      </c>
      <c r="J92" s="94">
        <f t="shared" si="16"/>
        <v>10.6357</v>
      </c>
      <c r="K92" s="97">
        <f>VLOOKUP(B92,[1]Faculty!$B$7:$K$81,10,FALSE)</f>
        <v>1812</v>
      </c>
      <c r="L92" s="98">
        <f t="shared" si="17"/>
        <v>11.844099999999999</v>
      </c>
      <c r="M92" s="99">
        <f t="shared" si="18"/>
        <v>12</v>
      </c>
      <c r="N92" s="100">
        <f t="shared" si="19"/>
        <v>11.501933333333334</v>
      </c>
      <c r="O92" s="88">
        <v>11</v>
      </c>
      <c r="P92" s="83">
        <v>11</v>
      </c>
      <c r="Q92" s="84">
        <v>11</v>
      </c>
      <c r="R92" s="85">
        <v>11</v>
      </c>
      <c r="S92" s="86">
        <v>11</v>
      </c>
    </row>
    <row r="93" spans="1:19" x14ac:dyDescent="0.2">
      <c r="A93" s="72"/>
      <c r="B93" s="73" t="s">
        <v>90</v>
      </c>
      <c r="C93" s="74">
        <f>VLOOKUP(B93,[1]SponsoredResearch!$B$7:$L$81,11,FALSE)</f>
        <v>480267</v>
      </c>
      <c r="D93" s="75">
        <f t="shared" si="13"/>
        <v>12.328799999999999</v>
      </c>
      <c r="E93" s="76">
        <f>(29140)+((870)/3.5)</f>
        <v>29388.571428571428</v>
      </c>
      <c r="F93" s="77">
        <f t="shared" si="14"/>
        <v>3.3391322865784473E-2</v>
      </c>
      <c r="G93" s="78">
        <f>(5930)+((1410)/3.5)</f>
        <v>6332.8571428571431</v>
      </c>
      <c r="H93" s="77">
        <f t="shared" si="15"/>
        <v>4.0320196753100869E-2</v>
      </c>
      <c r="I93" s="78">
        <f>SUMIF('[1]UC Enrolment Data'!$A$3:$A$90,B93,'[1]UC Enrolment Data'!$T$3:$T$90)</f>
        <v>37005.523809523809</v>
      </c>
      <c r="J93" s="75">
        <f t="shared" si="16"/>
        <v>10.9596</v>
      </c>
      <c r="K93" s="78">
        <f>VLOOKUP(B93,[1]Faculty!$B$7:$K$81,10,FALSE)</f>
        <v>1625</v>
      </c>
      <c r="L93" s="79">
        <f t="shared" si="17"/>
        <v>11.5161</v>
      </c>
      <c r="M93" s="87">
        <f t="shared" si="18"/>
        <v>12</v>
      </c>
      <c r="N93" s="81">
        <f t="shared" si="19"/>
        <v>11.6015</v>
      </c>
      <c r="O93" s="88">
        <v>12</v>
      </c>
      <c r="P93" s="83">
        <v>12</v>
      </c>
      <c r="Q93" s="84">
        <v>12</v>
      </c>
      <c r="R93" s="85">
        <v>12</v>
      </c>
      <c r="S93" s="86">
        <v>12</v>
      </c>
    </row>
    <row r="94" spans="1:19" x14ac:dyDescent="0.2">
      <c r="A94" s="72"/>
      <c r="B94" s="73" t="s">
        <v>91</v>
      </c>
      <c r="C94" s="74">
        <f>VLOOKUP(B94,[1]SponsoredResearch!$B$7:$L$81,11,FALSE)</f>
        <v>543119</v>
      </c>
      <c r="D94" s="75">
        <f t="shared" si="13"/>
        <v>12.5024</v>
      </c>
      <c r="E94" s="76">
        <f>(22160)+((4790)/3.5)</f>
        <v>23528.571428571428</v>
      </c>
      <c r="F94" s="77">
        <f t="shared" si="14"/>
        <v>2.6733185280938671E-2</v>
      </c>
      <c r="G94" s="78">
        <f>(6630)+((2260)/3.5)</f>
        <v>7275.7142857142853</v>
      </c>
      <c r="H94" s="77">
        <f t="shared" si="15"/>
        <v>4.6323203713860298E-2</v>
      </c>
      <c r="I94" s="78">
        <f>SUMIF('[1]UC Enrolment Data'!$A$3:$A$90,B94,'[1]UC Enrolment Data'!$T$3:$T$90)</f>
        <v>33425.28571428571</v>
      </c>
      <c r="J94" s="75">
        <f t="shared" si="16"/>
        <v>10.7201</v>
      </c>
      <c r="K94" s="78">
        <f>VLOOKUP(B94,[1]Faculty!$B$7:$K$81,10,FALSE)</f>
        <v>1873</v>
      </c>
      <c r="L94" s="79">
        <f t="shared" si="17"/>
        <v>11.9437</v>
      </c>
      <c r="M94" s="87">
        <f t="shared" si="18"/>
        <v>12</v>
      </c>
      <c r="N94" s="81">
        <f t="shared" si="19"/>
        <v>11.722066666666668</v>
      </c>
      <c r="O94" s="88">
        <v>12</v>
      </c>
      <c r="P94" s="83">
        <v>12</v>
      </c>
      <c r="Q94" s="84">
        <v>12</v>
      </c>
      <c r="R94" s="85">
        <v>12</v>
      </c>
      <c r="S94" s="86">
        <v>12</v>
      </c>
    </row>
    <row r="95" spans="1:19" x14ac:dyDescent="0.2">
      <c r="A95" s="90"/>
      <c r="B95" s="2" t="s">
        <v>92</v>
      </c>
      <c r="C95" s="74">
        <f>VLOOKUP(B95,[1]SponsoredResearch!$B$7:$L$81,11,FALSE)</f>
        <v>575786</v>
      </c>
      <c r="D95" s="75">
        <f t="shared" si="13"/>
        <v>12.584899999999999</v>
      </c>
      <c r="E95" s="76">
        <f>(33280)+((12090)/3.5)</f>
        <v>36734.285714285717</v>
      </c>
      <c r="F95" s="77">
        <f t="shared" si="14"/>
        <v>4.1737530438011962E-2</v>
      </c>
      <c r="G95" s="78">
        <f>(8750)+((1780)/3.5)</f>
        <v>9258.5714285714294</v>
      </c>
      <c r="H95" s="77">
        <f t="shared" si="15"/>
        <v>5.8947709261639239E-2</v>
      </c>
      <c r="I95" s="78">
        <f>SUMIF('[1]UC Enrolment Data'!$A$3:$A$90,B95,'[1]UC Enrolment Data'!$T$3:$T$90)</f>
        <v>50804.714285714283</v>
      </c>
      <c r="J95" s="75">
        <f t="shared" si="16"/>
        <v>11.7058</v>
      </c>
      <c r="K95" s="78">
        <f>VLOOKUP(B95,[1]Faculty!$B$7:$K$81,10,FALSE)</f>
        <v>2802</v>
      </c>
      <c r="L95" s="79">
        <f t="shared" si="17"/>
        <v>13.156599999999999</v>
      </c>
      <c r="M95" s="87">
        <f t="shared" si="18"/>
        <v>12</v>
      </c>
      <c r="N95" s="81">
        <f t="shared" si="19"/>
        <v>12.482433333333333</v>
      </c>
      <c r="O95" s="88">
        <v>12</v>
      </c>
      <c r="P95" s="83">
        <v>12</v>
      </c>
      <c r="Q95" s="84">
        <v>12</v>
      </c>
      <c r="R95" s="85">
        <v>12</v>
      </c>
      <c r="S95" s="86">
        <v>12</v>
      </c>
    </row>
    <row r="96" spans="1:19" ht="13.5" thickBot="1" x14ac:dyDescent="0.25">
      <c r="A96" s="90"/>
      <c r="B96" s="101" t="s">
        <v>93</v>
      </c>
      <c r="C96" s="102">
        <f>VLOOKUP(B96,[1]SponsoredResearch!$B$7:$L$81,11,FALSE)</f>
        <v>1088884</v>
      </c>
      <c r="D96" s="103">
        <f t="shared" si="13"/>
        <v>13.4842</v>
      </c>
      <c r="E96" s="104">
        <f>((4290)+((430)/3.5))+((57400)+((7200)/3.5))+((1710)+((120)/3.5))+(3180+(390/3.5))</f>
        <v>68905.714285714275</v>
      </c>
      <c r="F96" s="105">
        <f t="shared" si="14"/>
        <v>7.8290738241699798E-2</v>
      </c>
      <c r="G96" s="106">
        <f>((110)+((110)/3.5))+((13600)+((1800)/3.5))+((60)+((90)/3.5))</f>
        <v>14341.428571428571</v>
      </c>
      <c r="H96" s="105">
        <f t="shared" si="15"/>
        <v>9.130937405918782E-2</v>
      </c>
      <c r="I96" s="107">
        <f>SUMIF('[1]UC Enrolment Data'!$A$3:$A$90,B96,'[1]UC Enrolment Data'!$T$3:$T$90)</f>
        <v>90225.380952380947</v>
      </c>
      <c r="J96" s="103">
        <f t="shared" si="16"/>
        <v>13.058</v>
      </c>
      <c r="K96" s="108">
        <f>VLOOKUP(B96,[1]Faculty!$B$7:$K$81,10,FALSE)</f>
        <v>2691</v>
      </c>
      <c r="L96" s="109">
        <f t="shared" si="17"/>
        <v>13.0349</v>
      </c>
      <c r="M96" s="110">
        <f t="shared" si="18"/>
        <v>13</v>
      </c>
      <c r="N96" s="111">
        <f t="shared" si="19"/>
        <v>13.192366666666667</v>
      </c>
      <c r="O96" s="112">
        <v>13</v>
      </c>
      <c r="P96" s="113">
        <v>13</v>
      </c>
      <c r="Q96" s="114">
        <v>13</v>
      </c>
      <c r="R96" s="115">
        <v>13</v>
      </c>
      <c r="S96" s="116">
        <v>13</v>
      </c>
    </row>
    <row r="97" spans="1:19" ht="13.5" thickBot="1" x14ac:dyDescent="0.25">
      <c r="A97" s="72"/>
      <c r="B97" s="72"/>
      <c r="C97" s="117"/>
      <c r="D97" s="118"/>
      <c r="E97" s="117"/>
      <c r="F97" s="119"/>
      <c r="G97" s="120"/>
      <c r="H97" s="119"/>
      <c r="I97" s="120"/>
      <c r="J97" s="118"/>
      <c r="K97" s="120"/>
      <c r="L97" s="118"/>
      <c r="M97" s="121"/>
      <c r="N97" s="122"/>
      <c r="O97" s="123"/>
      <c r="P97" s="51"/>
      <c r="Q97" s="124"/>
      <c r="R97" s="124"/>
      <c r="S97" s="124"/>
    </row>
    <row r="98" spans="1:19" ht="13.5" thickBot="1" x14ac:dyDescent="0.25">
      <c r="A98" s="125" t="s">
        <v>94</v>
      </c>
      <c r="B98" s="126"/>
      <c r="C98" s="127">
        <f>SUM(C22:C96)</f>
        <v>7315988</v>
      </c>
      <c r="D98" s="128"/>
      <c r="E98" s="129">
        <f>SUM(E22:E96)</f>
        <v>880126</v>
      </c>
      <c r="F98" s="128">
        <f>SUM(F22:F96)</f>
        <v>1</v>
      </c>
      <c r="G98" s="130">
        <f>SUM(G22:G96)</f>
        <v>157064.14285714287</v>
      </c>
      <c r="H98" s="128">
        <f>SUM(H22:H96)</f>
        <v>1</v>
      </c>
      <c r="I98" s="129">
        <f>SUM(I22:I96)</f>
        <v>1138173.666666667</v>
      </c>
      <c r="J98" s="128"/>
      <c r="K98" s="131">
        <f>SUM(K22:K96)</f>
        <v>44424</v>
      </c>
      <c r="L98" s="77"/>
      <c r="M98" s="132"/>
      <c r="N98" s="132"/>
      <c r="O98" s="132"/>
      <c r="P98" s="132"/>
      <c r="Q98" s="132"/>
      <c r="R98" s="132"/>
      <c r="S98" s="132"/>
    </row>
    <row r="99" spans="1:19" ht="13.5" thickBot="1" x14ac:dyDescent="0.25">
      <c r="C99" s="133"/>
      <c r="D99" s="77"/>
      <c r="F99" s="77"/>
      <c r="G99" s="135"/>
      <c r="H99" s="77"/>
      <c r="I99" s="134"/>
      <c r="J99" s="77"/>
      <c r="K99" s="133"/>
      <c r="L99" s="77"/>
      <c r="M99" s="77"/>
      <c r="N99" s="77"/>
      <c r="O99" s="136"/>
      <c r="P99" s="137"/>
    </row>
    <row r="100" spans="1:19" ht="13.5" thickBot="1" x14ac:dyDescent="0.25">
      <c r="B100" s="138" t="s">
        <v>95</v>
      </c>
      <c r="C100" s="139">
        <v>13</v>
      </c>
      <c r="D100" s="139"/>
      <c r="E100" s="139"/>
      <c r="F100" s="139"/>
      <c r="G100" s="139"/>
      <c r="H100" s="139"/>
      <c r="I100" s="139"/>
      <c r="J100" s="139"/>
      <c r="K100" s="140"/>
      <c r="O100" s="141"/>
      <c r="P100" s="142"/>
      <c r="Q100" s="132"/>
      <c r="R100" s="132"/>
      <c r="S100" s="132"/>
    </row>
    <row r="101" spans="1:19" x14ac:dyDescent="0.2">
      <c r="B101" s="73" t="s">
        <v>96</v>
      </c>
      <c r="C101" s="143">
        <f>100*C98/6643985</f>
        <v>110.11445691102554</v>
      </c>
      <c r="E101" s="2"/>
      <c r="I101" s="143">
        <f>400*I98/1045575</f>
        <v>435.42497349943028</v>
      </c>
      <c r="K101" s="144">
        <f>40*K$98/42436</f>
        <v>41.873880667357902</v>
      </c>
      <c r="O101" s="136"/>
      <c r="P101" s="142"/>
    </row>
    <row r="102" spans="1:19" x14ac:dyDescent="0.2">
      <c r="B102" s="73" t="s">
        <v>97</v>
      </c>
      <c r="C102" s="143">
        <f>1000000*C98/6644054</f>
        <v>1101133.1334754354</v>
      </c>
      <c r="E102" s="2"/>
      <c r="I102" s="143">
        <f>100000*I98/1045575</f>
        <v>108856.24337485757</v>
      </c>
      <c r="K102" s="144">
        <f>3000*K$98/42436</f>
        <v>3140.5410500518428</v>
      </c>
      <c r="O102" s="136"/>
      <c r="P102" s="142"/>
    </row>
    <row r="103" spans="1:19" ht="13.5" thickBot="1" x14ac:dyDescent="0.25">
      <c r="B103" s="101" t="s">
        <v>98</v>
      </c>
      <c r="C103" s="145">
        <v>2.0309176209047357</v>
      </c>
      <c r="D103" s="145"/>
      <c r="E103" s="145"/>
      <c r="F103" s="145"/>
      <c r="G103" s="145"/>
      <c r="H103" s="145"/>
      <c r="I103" s="146">
        <v>1.5291740650000001</v>
      </c>
      <c r="J103" s="145"/>
      <c r="K103" s="147">
        <v>1.3939124009120489</v>
      </c>
      <c r="O103" s="136"/>
      <c r="P103" s="142"/>
    </row>
    <row r="104" spans="1:19" x14ac:dyDescent="0.2">
      <c r="E104" s="2"/>
      <c r="O104" s="148"/>
      <c r="P104" s="4"/>
    </row>
    <row r="105" spans="1:19" x14ac:dyDescent="0.2">
      <c r="B105" s="149" t="s">
        <v>99</v>
      </c>
      <c r="C105" s="150">
        <v>6768180</v>
      </c>
      <c r="D105" s="150"/>
      <c r="E105" s="150">
        <v>880126.00000000012</v>
      </c>
      <c r="F105" s="150">
        <v>0.99999999999999989</v>
      </c>
      <c r="G105" s="150">
        <v>157064.14285714287</v>
      </c>
      <c r="H105" s="150">
        <v>1</v>
      </c>
      <c r="I105" s="150">
        <v>1073175</v>
      </c>
      <c r="O105" s="148"/>
      <c r="P105" s="4"/>
    </row>
    <row r="106" spans="1:19" x14ac:dyDescent="0.2">
      <c r="C106" s="150"/>
      <c r="D106" s="150"/>
      <c r="E106" s="150"/>
      <c r="F106" s="150"/>
      <c r="G106" s="150"/>
      <c r="H106" s="150"/>
      <c r="I106" s="150"/>
      <c r="O106" s="148"/>
      <c r="P106" s="4"/>
    </row>
    <row r="107" spans="1:19" x14ac:dyDescent="0.2">
      <c r="C107" s="150"/>
      <c r="D107" s="150"/>
      <c r="E107" s="150"/>
      <c r="F107" s="150"/>
      <c r="G107" s="150"/>
      <c r="H107" s="150"/>
      <c r="I107" s="150"/>
      <c r="O107" s="148"/>
      <c r="P107" s="4"/>
    </row>
    <row r="108" spans="1:19" x14ac:dyDescent="0.2">
      <c r="C108" s="151"/>
      <c r="D108" s="121"/>
      <c r="E108" s="151"/>
      <c r="F108" s="77"/>
      <c r="G108" s="78"/>
      <c r="H108" s="77"/>
      <c r="I108" s="78"/>
      <c r="J108" s="121"/>
      <c r="K108" s="78"/>
      <c r="L108" s="121"/>
      <c r="M108" s="121"/>
      <c r="N108" s="121"/>
      <c r="O108" s="152"/>
      <c r="P108" s="4"/>
    </row>
    <row r="109" spans="1:19" x14ac:dyDescent="0.2">
      <c r="D109" s="153"/>
      <c r="E109" s="2"/>
      <c r="O109" s="148"/>
      <c r="P109" s="4"/>
    </row>
    <row r="110" spans="1:19" x14ac:dyDescent="0.2">
      <c r="E110" s="2"/>
      <c r="O110" s="148"/>
      <c r="P110" s="4"/>
    </row>
    <row r="111" spans="1:19" x14ac:dyDescent="0.2">
      <c r="E111" s="2"/>
      <c r="O111" s="154"/>
      <c r="P111" s="4"/>
    </row>
    <row r="112" spans="1:19" x14ac:dyDescent="0.2">
      <c r="E112" s="2"/>
      <c r="O112" s="154"/>
      <c r="P112" s="4"/>
    </row>
    <row r="113" spans="5:16" x14ac:dyDescent="0.2">
      <c r="E113" s="2"/>
      <c r="O113" s="154"/>
      <c r="P113" s="4"/>
    </row>
    <row r="114" spans="5:16" x14ac:dyDescent="0.2">
      <c r="E114" s="2"/>
      <c r="O114" s="154"/>
      <c r="P114" s="4"/>
    </row>
    <row r="115" spans="5:16" x14ac:dyDescent="0.2">
      <c r="E115" s="2"/>
      <c r="O115" s="154"/>
      <c r="P115" s="4"/>
    </row>
    <row r="116" spans="5:16" x14ac:dyDescent="0.2">
      <c r="E116" s="2"/>
      <c r="O116" s="154"/>
      <c r="P116" s="4"/>
    </row>
    <row r="117" spans="5:16" x14ac:dyDescent="0.2">
      <c r="E117" s="2"/>
      <c r="O117" s="154"/>
      <c r="P117" s="4"/>
    </row>
    <row r="118" spans="5:16" x14ac:dyDescent="0.2">
      <c r="E118" s="2"/>
      <c r="O118" s="154"/>
      <c r="P118" s="4"/>
    </row>
    <row r="119" spans="5:16" x14ac:dyDescent="0.2">
      <c r="E119" s="2"/>
      <c r="O119" s="154"/>
      <c r="P119" s="4"/>
    </row>
    <row r="120" spans="5:16" x14ac:dyDescent="0.2">
      <c r="E120" s="2"/>
      <c r="O120" s="154"/>
      <c r="P120" s="4"/>
    </row>
    <row r="121" spans="5:16" x14ac:dyDescent="0.2">
      <c r="E121" s="2"/>
      <c r="O121" s="154"/>
      <c r="P121" s="4"/>
    </row>
    <row r="122" spans="5:16" x14ac:dyDescent="0.2">
      <c r="E122" s="2"/>
      <c r="O122" s="154"/>
      <c r="P122" s="4"/>
    </row>
    <row r="123" spans="5:16" x14ac:dyDescent="0.2">
      <c r="E123" s="2"/>
      <c r="O123" s="154"/>
      <c r="P123" s="4"/>
    </row>
    <row r="124" spans="5:16" x14ac:dyDescent="0.2">
      <c r="E124" s="2"/>
      <c r="O124" s="154"/>
      <c r="P124" s="4"/>
    </row>
    <row r="125" spans="5:16" x14ac:dyDescent="0.2">
      <c r="E125" s="2"/>
      <c r="O125" s="154"/>
      <c r="P125" s="4"/>
    </row>
    <row r="126" spans="5:16" x14ac:dyDescent="0.2">
      <c r="E126" s="2"/>
      <c r="O126" s="154"/>
      <c r="P126" s="4"/>
    </row>
    <row r="127" spans="5:16" x14ac:dyDescent="0.2">
      <c r="E127" s="2"/>
      <c r="O127" s="154"/>
      <c r="P127" s="4"/>
    </row>
    <row r="128" spans="5:16" x14ac:dyDescent="0.2">
      <c r="E128" s="2"/>
      <c r="O128" s="154"/>
      <c r="P128" s="4"/>
    </row>
    <row r="129" spans="5:16" x14ac:dyDescent="0.2">
      <c r="E129" s="2"/>
      <c r="O129" s="154"/>
      <c r="P129" s="4"/>
    </row>
    <row r="130" spans="5:16" x14ac:dyDescent="0.2">
      <c r="E130" s="2"/>
      <c r="O130" s="154"/>
      <c r="P130" s="4"/>
    </row>
    <row r="131" spans="5:16" x14ac:dyDescent="0.2">
      <c r="E131" s="2"/>
      <c r="O131" s="154"/>
      <c r="P131" s="4"/>
    </row>
    <row r="132" spans="5:16" x14ac:dyDescent="0.2">
      <c r="E132" s="2"/>
      <c r="O132" s="154"/>
      <c r="P132" s="4"/>
    </row>
    <row r="133" spans="5:16" x14ac:dyDescent="0.2">
      <c r="E133" s="2"/>
      <c r="O133" s="154"/>
      <c r="P133" s="4"/>
    </row>
    <row r="134" spans="5:16" x14ac:dyDescent="0.2">
      <c r="E134" s="2"/>
      <c r="O134" s="154"/>
      <c r="P134" s="4"/>
    </row>
    <row r="135" spans="5:16" x14ac:dyDescent="0.2">
      <c r="E135" s="2"/>
      <c r="O135" s="154"/>
      <c r="P135" s="4"/>
    </row>
    <row r="136" spans="5:16" x14ac:dyDescent="0.2">
      <c r="E136" s="2"/>
      <c r="O136" s="154"/>
      <c r="P136" s="4"/>
    </row>
    <row r="137" spans="5:16" x14ac:dyDescent="0.2">
      <c r="E137" s="2"/>
      <c r="O137" s="154"/>
      <c r="P137" s="4"/>
    </row>
    <row r="138" spans="5:16" x14ac:dyDescent="0.2">
      <c r="E138" s="2"/>
      <c r="O138" s="154"/>
      <c r="P138" s="4"/>
    </row>
    <row r="139" spans="5:16" x14ac:dyDescent="0.2">
      <c r="E139" s="2"/>
      <c r="O139" s="154"/>
      <c r="P139" s="4"/>
    </row>
    <row r="140" spans="5:16" x14ac:dyDescent="0.2">
      <c r="E140" s="2"/>
      <c r="O140" s="154"/>
      <c r="P140" s="4"/>
    </row>
    <row r="141" spans="5:16" x14ac:dyDescent="0.2">
      <c r="E141" s="2"/>
      <c r="O141" s="154"/>
      <c r="P141" s="4"/>
    </row>
    <row r="142" spans="5:16" x14ac:dyDescent="0.2">
      <c r="E142" s="2"/>
      <c r="O142" s="154"/>
      <c r="P142" s="4"/>
    </row>
    <row r="143" spans="5:16" x14ac:dyDescent="0.2">
      <c r="E143" s="2"/>
      <c r="O143" s="154"/>
      <c r="P143" s="4"/>
    </row>
    <row r="144" spans="5:16" x14ac:dyDescent="0.2">
      <c r="E144" s="2"/>
      <c r="O144" s="154"/>
      <c r="P144" s="4"/>
    </row>
    <row r="145" spans="5:16" x14ac:dyDescent="0.2">
      <c r="E145" s="2"/>
      <c r="O145" s="154"/>
      <c r="P145" s="4"/>
    </row>
    <row r="146" spans="5:16" x14ac:dyDescent="0.2">
      <c r="E146" s="2"/>
      <c r="O146" s="154"/>
      <c r="P146" s="4"/>
    </row>
    <row r="147" spans="5:16" x14ac:dyDescent="0.2">
      <c r="E147" s="2"/>
      <c r="O147" s="154"/>
      <c r="P147" s="4"/>
    </row>
    <row r="148" spans="5:16" x14ac:dyDescent="0.2">
      <c r="E148" s="2"/>
      <c r="O148" s="154"/>
      <c r="P148" s="4"/>
    </row>
    <row r="149" spans="5:16" x14ac:dyDescent="0.2">
      <c r="E149" s="2"/>
      <c r="O149" s="154"/>
      <c r="P149" s="4"/>
    </row>
    <row r="150" spans="5:16" x14ac:dyDescent="0.2">
      <c r="E150" s="2"/>
      <c r="O150" s="154"/>
      <c r="P150" s="4"/>
    </row>
    <row r="151" spans="5:16" x14ac:dyDescent="0.2">
      <c r="E151" s="2"/>
      <c r="O151" s="154"/>
      <c r="P151" s="4"/>
    </row>
    <row r="152" spans="5:16" x14ac:dyDescent="0.2">
      <c r="E152" s="2"/>
      <c r="O152" s="154"/>
      <c r="P152" s="4"/>
    </row>
    <row r="153" spans="5:16" x14ac:dyDescent="0.2">
      <c r="E153" s="2"/>
      <c r="O153" s="154"/>
      <c r="P153" s="4"/>
    </row>
    <row r="154" spans="5:16" x14ac:dyDescent="0.2">
      <c r="E154" s="2"/>
      <c r="O154" s="154"/>
      <c r="P154" s="4"/>
    </row>
    <row r="155" spans="5:16" x14ac:dyDescent="0.2">
      <c r="E155" s="2"/>
      <c r="O155" s="154"/>
      <c r="P155" s="4"/>
    </row>
    <row r="156" spans="5:16" x14ac:dyDescent="0.2">
      <c r="E156" s="2"/>
      <c r="O156" s="154"/>
      <c r="P156" s="4"/>
    </row>
    <row r="157" spans="5:16" x14ac:dyDescent="0.2">
      <c r="E157" s="2"/>
      <c r="O157" s="154"/>
      <c r="P157" s="4"/>
    </row>
    <row r="158" spans="5:16" x14ac:dyDescent="0.2">
      <c r="E158" s="2"/>
      <c r="O158" s="154"/>
      <c r="P158" s="4"/>
    </row>
    <row r="159" spans="5:16" x14ac:dyDescent="0.2">
      <c r="E159" s="2"/>
      <c r="O159" s="154"/>
      <c r="P159" s="4"/>
    </row>
    <row r="160" spans="5:16" x14ac:dyDescent="0.2">
      <c r="E160" s="2"/>
      <c r="O160" s="154"/>
      <c r="P160" s="4"/>
    </row>
    <row r="161" spans="5:16" x14ac:dyDescent="0.2">
      <c r="E161" s="2"/>
      <c r="O161" s="154"/>
      <c r="P161" s="4"/>
    </row>
    <row r="162" spans="5:16" x14ac:dyDescent="0.2">
      <c r="E162" s="2"/>
      <c r="O162" s="154"/>
      <c r="P162" s="4"/>
    </row>
    <row r="163" spans="5:16" x14ac:dyDescent="0.2">
      <c r="E163" s="2"/>
      <c r="O163" s="136"/>
      <c r="P163" s="155"/>
    </row>
    <row r="164" spans="5:16" x14ac:dyDescent="0.2">
      <c r="E164" s="2"/>
      <c r="O164" s="136"/>
      <c r="P164" s="155"/>
    </row>
    <row r="165" spans="5:16" x14ac:dyDescent="0.2">
      <c r="E165" s="2"/>
      <c r="O165" s="136"/>
      <c r="P165" s="155"/>
    </row>
    <row r="166" spans="5:16" x14ac:dyDescent="0.2">
      <c r="E166" s="2"/>
      <c r="O166" s="136"/>
      <c r="P166" s="155"/>
    </row>
    <row r="167" spans="5:16" x14ac:dyDescent="0.2">
      <c r="E167" s="2"/>
      <c r="O167" s="136"/>
      <c r="P167" s="155"/>
    </row>
    <row r="168" spans="5:16" x14ac:dyDescent="0.2">
      <c r="E168" s="2"/>
      <c r="O168" s="136"/>
      <c r="P168" s="155"/>
    </row>
    <row r="169" spans="5:16" x14ac:dyDescent="0.2">
      <c r="E169" s="2"/>
      <c r="O169" s="136"/>
      <c r="P169" s="155"/>
    </row>
    <row r="170" spans="5:16" x14ac:dyDescent="0.2">
      <c r="E170" s="2"/>
      <c r="O170" s="136"/>
      <c r="P170" s="155"/>
    </row>
    <row r="171" spans="5:16" x14ac:dyDescent="0.2">
      <c r="E171" s="2"/>
      <c r="O171" s="136"/>
      <c r="P171" s="155"/>
    </row>
  </sheetData>
  <autoFilter ref="I21:K98" xr:uid="{00000000-0009-0000-0000-000000000000}"/>
  <mergeCells count="14">
    <mergeCell ref="R4:R21"/>
    <mergeCell ref="S4:S21"/>
    <mergeCell ref="K4:L6"/>
    <mergeCell ref="M4:M21"/>
    <mergeCell ref="N4:N21"/>
    <mergeCell ref="O4:O21"/>
    <mergeCell ref="P4:P21"/>
    <mergeCell ref="Q4:Q21"/>
    <mergeCell ref="E1:I1"/>
    <mergeCell ref="B4:B6"/>
    <mergeCell ref="C4:D6"/>
    <mergeCell ref="E4:F6"/>
    <mergeCell ref="G4:H6"/>
    <mergeCell ref="I4:J6"/>
  </mergeCells>
  <conditionalFormatting sqref="O22:O97">
    <cfRule type="expression" dxfId="1" priority="2">
      <formula>"if($M22&lt;&gt;$P22)"</formula>
    </cfRule>
  </conditionalFormatting>
  <conditionalFormatting sqref="O108">
    <cfRule type="expression" dxfId="0" priority="1">
      <formula>"if($M22&lt;&gt;$P22)"</formula>
    </cfRule>
  </conditionalFormatting>
  <printOptions horizontalCentered="1" verticalCentered="1"/>
  <pageMargins left="3.937007874015748E-2" right="3.937007874015748E-2" top="0.15748031496062992" bottom="0.15748031496062992" header="0.31496062992125984" footer="0.31496062992125984"/>
  <pageSetup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Banding System</vt:lpstr>
      <vt:lpstr>CRKN_Members</vt:lpstr>
      <vt:lpstr>'Banding System'!Print_Area</vt:lpstr>
      <vt:lpstr>'Banding System'!Print_Titles</vt:lpstr>
      <vt:lpstr>TIERS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Holmes</dc:creator>
  <cp:lastModifiedBy>Amanda Holmes</cp:lastModifiedBy>
  <dcterms:created xsi:type="dcterms:W3CDTF">2020-05-05T19:07:33Z</dcterms:created>
  <dcterms:modified xsi:type="dcterms:W3CDTF">2020-05-05T19:08:16Z</dcterms:modified>
</cp:coreProperties>
</file>